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priver3651017750-my.sharepoint.com/personal/sheena_townofdeweybeach_com/Documents/Accounting Supervisor/FY27 Financials/2 - May/"/>
    </mc:Choice>
  </mc:AlternateContent>
  <xr:revisionPtr revIDLastSave="436" documentId="8_{785610C8-1098-4BEB-B0DE-49A0091E4308}" xr6:coauthVersionLast="47" xr6:coauthVersionMax="47" xr10:uidLastSave="{4E5FCEB9-30FE-4E01-81E4-91449AF1CCE4}"/>
  <bookViews>
    <workbookView xWindow="-28920" yWindow="-120" windowWidth="29040" windowHeight="15720" xr2:uid="{95E86213-0961-4F7A-98CD-15A96E8BDA6B}"/>
  </bookViews>
  <sheets>
    <sheet name="Fin Summary - Operating" sheetId="3" r:id="rId1"/>
    <sheet name="Revenues" sheetId="1" r:id="rId2"/>
    <sheet name="Expenditures" sheetId="2" r:id="rId3"/>
    <sheet name="Total Funds to Operating" sheetId="4" r:id="rId4"/>
  </sheets>
  <definedNames>
    <definedName name="_xlnm._FilterDatabase" localSheetId="2" hidden="1">Expenditures!$A$1:$F$211</definedName>
    <definedName name="_xlnm._FilterDatabase" localSheetId="1" hidden="1">Revenues!$A$1:$F$37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'Fin Summary - Operating'!$B$1:$P$89</definedName>
    <definedName name="_xlnm.Print_Area" localSheetId="3">'Total Funds to Operating'!$A$1:$E$63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6" i="3" l="1"/>
  <c r="I16" i="3"/>
  <c r="C16" i="3"/>
  <c r="B16" i="3"/>
  <c r="E63" i="4"/>
  <c r="D48" i="4"/>
  <c r="C48" i="4"/>
  <c r="I10" i="3"/>
  <c r="E56" i="3"/>
  <c r="E55" i="3"/>
  <c r="E54" i="3"/>
  <c r="E52" i="3"/>
  <c r="E50" i="3"/>
  <c r="E47" i="3"/>
  <c r="E46" i="3"/>
  <c r="E45" i="3"/>
  <c r="E42" i="3"/>
  <c r="E41" i="3"/>
  <c r="E40" i="3"/>
  <c r="E37" i="3"/>
  <c r="E36" i="3"/>
  <c r="E35" i="3"/>
  <c r="E34" i="3"/>
  <c r="E31" i="3"/>
  <c r="E30" i="3"/>
  <c r="E29" i="3"/>
  <c r="E26" i="3"/>
  <c r="E25" i="3"/>
  <c r="E18" i="3"/>
  <c r="E10" i="3"/>
  <c r="E8" i="3"/>
  <c r="E6" i="3"/>
  <c r="C13" i="3"/>
  <c r="C12" i="3"/>
  <c r="C10" i="3"/>
  <c r="C9" i="3"/>
  <c r="J57" i="3"/>
  <c r="J56" i="3"/>
  <c r="J52" i="3"/>
  <c r="J50" i="3"/>
  <c r="J47" i="3"/>
  <c r="J46" i="3"/>
  <c r="J45" i="3"/>
  <c r="K45" i="3" s="1"/>
  <c r="J42" i="3"/>
  <c r="J43" i="3" s="1"/>
  <c r="J41" i="3"/>
  <c r="L41" i="3" s="1"/>
  <c r="J40" i="3"/>
  <c r="J37" i="3"/>
  <c r="J36" i="3"/>
  <c r="J35" i="3"/>
  <c r="J34" i="3"/>
  <c r="J38" i="3" s="1"/>
  <c r="J31" i="3"/>
  <c r="J30" i="3"/>
  <c r="L30" i="3" s="1"/>
  <c r="J29" i="3"/>
  <c r="J27" i="3"/>
  <c r="J26" i="3"/>
  <c r="J25" i="3"/>
  <c r="J23" i="3"/>
  <c r="J13" i="3"/>
  <c r="J14" i="3" s="1"/>
  <c r="J11" i="3"/>
  <c r="J65" i="3" s="1"/>
  <c r="J9" i="3"/>
  <c r="J8" i="3"/>
  <c r="J18" i="3" s="1"/>
  <c r="J7" i="3"/>
  <c r="J6" i="3"/>
  <c r="I18" i="3"/>
  <c r="I17" i="3"/>
  <c r="C18" i="3"/>
  <c r="C17" i="3"/>
  <c r="B18" i="3"/>
  <c r="B17" i="3"/>
  <c r="E16" i="3"/>
  <c r="I56" i="3"/>
  <c r="I57" i="3" s="1"/>
  <c r="I52" i="3"/>
  <c r="I50" i="3"/>
  <c r="I47" i="3"/>
  <c r="K47" i="3" s="1"/>
  <c r="I46" i="3"/>
  <c r="I45" i="3"/>
  <c r="P45" i="3" s="1"/>
  <c r="I42" i="3"/>
  <c r="P42" i="3" s="1"/>
  <c r="I41" i="3"/>
  <c r="O41" i="3" s="1"/>
  <c r="I40" i="3"/>
  <c r="O40" i="3" s="1"/>
  <c r="I37" i="3"/>
  <c r="P37" i="3" s="1"/>
  <c r="I36" i="3"/>
  <c r="P36" i="3" s="1"/>
  <c r="I35" i="3"/>
  <c r="I34" i="3"/>
  <c r="P34" i="3" s="1"/>
  <c r="I31" i="3"/>
  <c r="I30" i="3"/>
  <c r="I29" i="3"/>
  <c r="I26" i="3"/>
  <c r="P26" i="3" s="1"/>
  <c r="I25" i="3"/>
  <c r="L25" i="3" s="1"/>
  <c r="I13" i="3"/>
  <c r="I11" i="3"/>
  <c r="I9" i="3"/>
  <c r="I8" i="3"/>
  <c r="I7" i="3"/>
  <c r="I6" i="3"/>
  <c r="P55" i="3"/>
  <c r="P54" i="3"/>
  <c r="P52" i="3"/>
  <c r="O50" i="3"/>
  <c r="I48" i="3"/>
  <c r="P47" i="3"/>
  <c r="O35" i="3"/>
  <c r="P30" i="3"/>
  <c r="O29" i="3"/>
  <c r="I23" i="3"/>
  <c r="P13" i="3"/>
  <c r="P12" i="3"/>
  <c r="I70" i="3"/>
  <c r="I71" i="3" s="1"/>
  <c r="P7" i="3"/>
  <c r="B13" i="3"/>
  <c r="D41" i="4"/>
  <c r="B41" i="4"/>
  <c r="A41" i="4"/>
  <c r="B56" i="3"/>
  <c r="B37" i="3"/>
  <c r="P31" i="3"/>
  <c r="B31" i="3"/>
  <c r="B26" i="3"/>
  <c r="L54" i="3"/>
  <c r="L34" i="3"/>
  <c r="B55" i="3"/>
  <c r="B54" i="3"/>
  <c r="B52" i="3"/>
  <c r="B50" i="3"/>
  <c r="B47" i="3"/>
  <c r="B46" i="3"/>
  <c r="B45" i="3"/>
  <c r="B42" i="3"/>
  <c r="B41" i="3"/>
  <c r="B43" i="3" s="1"/>
  <c r="B40" i="3"/>
  <c r="B36" i="3"/>
  <c r="B38" i="3" s="1"/>
  <c r="B35" i="3"/>
  <c r="B34" i="3"/>
  <c r="B30" i="3"/>
  <c r="B29" i="3"/>
  <c r="K25" i="3"/>
  <c r="C61" i="4"/>
  <c r="D59" i="4"/>
  <c r="D58" i="4"/>
  <c r="D57" i="4"/>
  <c r="D56" i="4"/>
  <c r="D55" i="4"/>
  <c r="D54" i="4"/>
  <c r="D53" i="4"/>
  <c r="D52" i="4"/>
  <c r="D51" i="4"/>
  <c r="E59" i="4"/>
  <c r="E58" i="4"/>
  <c r="E57" i="4"/>
  <c r="E56" i="4"/>
  <c r="E55" i="4"/>
  <c r="E54" i="4"/>
  <c r="E53" i="4"/>
  <c r="E52" i="4"/>
  <c r="E51" i="4"/>
  <c r="B59" i="4"/>
  <c r="B58" i="4"/>
  <c r="B57" i="4"/>
  <c r="B56" i="4"/>
  <c r="B55" i="4"/>
  <c r="B54" i="4"/>
  <c r="B53" i="4"/>
  <c r="B52" i="4"/>
  <c r="B51" i="4"/>
  <c r="A59" i="4"/>
  <c r="A58" i="4"/>
  <c r="A57" i="4"/>
  <c r="A56" i="4"/>
  <c r="A55" i="4"/>
  <c r="A54" i="4"/>
  <c r="A53" i="4"/>
  <c r="A52" i="4"/>
  <c r="A51" i="4"/>
  <c r="E46" i="4"/>
  <c r="E45" i="4"/>
  <c r="E44" i="4"/>
  <c r="E43" i="4"/>
  <c r="E42" i="4"/>
  <c r="D46" i="4"/>
  <c r="D45" i="4"/>
  <c r="D44" i="4"/>
  <c r="D43" i="4"/>
  <c r="D42" i="4"/>
  <c r="B46" i="4"/>
  <c r="B45" i="4"/>
  <c r="B44" i="4"/>
  <c r="B43" i="4"/>
  <c r="B42" i="4"/>
  <c r="A46" i="4"/>
  <c r="A45" i="4"/>
  <c r="A44" i="4"/>
  <c r="A43" i="4"/>
  <c r="A42" i="4"/>
  <c r="E5" i="4"/>
  <c r="D5" i="4"/>
  <c r="B5" i="4"/>
  <c r="D3" i="4"/>
  <c r="B3" i="4"/>
  <c r="B12" i="3"/>
  <c r="B11" i="3"/>
  <c r="B10" i="3"/>
  <c r="P9" i="3"/>
  <c r="B9" i="3"/>
  <c r="P8" i="3"/>
  <c r="C8" i="3"/>
  <c r="C14" i="3" s="1"/>
  <c r="C15" i="4" s="1"/>
  <c r="B8" i="3"/>
  <c r="D8" i="3" s="1"/>
  <c r="B7" i="3"/>
  <c r="C6" i="3"/>
  <c r="B6" i="3"/>
  <c r="C32" i="3"/>
  <c r="N82" i="3"/>
  <c r="C82" i="3"/>
  <c r="B82" i="3"/>
  <c r="J70" i="3"/>
  <c r="J71" i="3" s="1"/>
  <c r="J66" i="3"/>
  <c r="I66" i="3"/>
  <c r="J64" i="3"/>
  <c r="N57" i="3"/>
  <c r="N59" i="3" s="1"/>
  <c r="P56" i="3"/>
  <c r="O56" i="3"/>
  <c r="L56" i="3"/>
  <c r="K56" i="3"/>
  <c r="C57" i="3"/>
  <c r="O55" i="3"/>
  <c r="L55" i="3"/>
  <c r="K55" i="3"/>
  <c r="D55" i="3"/>
  <c r="K54" i="3"/>
  <c r="D54" i="3"/>
  <c r="D52" i="3"/>
  <c r="P50" i="3"/>
  <c r="D50" i="3"/>
  <c r="N48" i="3"/>
  <c r="C48" i="3"/>
  <c r="B48" i="3"/>
  <c r="O47" i="3"/>
  <c r="L47" i="3"/>
  <c r="D47" i="3"/>
  <c r="D46" i="3"/>
  <c r="D45" i="3"/>
  <c r="N43" i="3"/>
  <c r="C43" i="3"/>
  <c r="K41" i="3"/>
  <c r="P40" i="3"/>
  <c r="D40" i="3"/>
  <c r="N38" i="3"/>
  <c r="D37" i="3"/>
  <c r="D36" i="3"/>
  <c r="P35" i="3"/>
  <c r="D35" i="3"/>
  <c r="D34" i="3"/>
  <c r="N32" i="3"/>
  <c r="D31" i="3"/>
  <c r="P29" i="3"/>
  <c r="D29" i="3"/>
  <c r="N27" i="3"/>
  <c r="C27" i="3"/>
  <c r="B27" i="3"/>
  <c r="E27" i="3" s="1"/>
  <c r="D26" i="3"/>
  <c r="P25" i="3"/>
  <c r="O25" i="3"/>
  <c r="D25" i="3"/>
  <c r="B23" i="3"/>
  <c r="N18" i="3"/>
  <c r="N17" i="3"/>
  <c r="N16" i="3"/>
  <c r="N19" i="3" s="1"/>
  <c r="N14" i="3"/>
  <c r="N13" i="3"/>
  <c r="E12" i="3"/>
  <c r="D12" i="3"/>
  <c r="D10" i="3"/>
  <c r="O9" i="3"/>
  <c r="L9" i="3"/>
  <c r="K9" i="3"/>
  <c r="E7" i="3"/>
  <c r="D7" i="3"/>
  <c r="P6" i="3"/>
  <c r="O6" i="3"/>
  <c r="K6" i="3"/>
  <c r="F208" i="2"/>
  <c r="E208" i="2"/>
  <c r="D208" i="2"/>
  <c r="C208" i="2"/>
  <c r="F207" i="2"/>
  <c r="E207" i="2"/>
  <c r="D207" i="2"/>
  <c r="C207" i="2"/>
  <c r="F195" i="2"/>
  <c r="E195" i="2"/>
  <c r="D195" i="2"/>
  <c r="C195" i="2"/>
  <c r="F189" i="2"/>
  <c r="E189" i="2"/>
  <c r="D189" i="2"/>
  <c r="C189" i="2"/>
  <c r="F177" i="2"/>
  <c r="E177" i="2"/>
  <c r="D177" i="2"/>
  <c r="C177" i="2"/>
  <c r="F171" i="2"/>
  <c r="E171" i="2"/>
  <c r="D171" i="2"/>
  <c r="C171" i="2"/>
  <c r="F167" i="2"/>
  <c r="E167" i="2"/>
  <c r="D167" i="2"/>
  <c r="C167" i="2"/>
  <c r="F158" i="2"/>
  <c r="E158" i="2"/>
  <c r="D158" i="2"/>
  <c r="C158" i="2"/>
  <c r="F152" i="2"/>
  <c r="E152" i="2"/>
  <c r="D152" i="2"/>
  <c r="C152" i="2"/>
  <c r="F145" i="2"/>
  <c r="E145" i="2"/>
  <c r="D145" i="2"/>
  <c r="C145" i="2"/>
  <c r="F136" i="2"/>
  <c r="E136" i="2"/>
  <c r="D136" i="2"/>
  <c r="C136" i="2"/>
  <c r="F130" i="2"/>
  <c r="E130" i="2"/>
  <c r="D130" i="2"/>
  <c r="C130" i="2"/>
  <c r="F126" i="2"/>
  <c r="E126" i="2"/>
  <c r="D126" i="2"/>
  <c r="C126" i="2"/>
  <c r="F120" i="2"/>
  <c r="E120" i="2"/>
  <c r="D120" i="2"/>
  <c r="C120" i="2"/>
  <c r="F110" i="2"/>
  <c r="E110" i="2"/>
  <c r="D110" i="2"/>
  <c r="C110" i="2"/>
  <c r="F93" i="2"/>
  <c r="E93" i="2"/>
  <c r="D93" i="2"/>
  <c r="C93" i="2"/>
  <c r="F85" i="2"/>
  <c r="E85" i="2"/>
  <c r="D85" i="2"/>
  <c r="C85" i="2"/>
  <c r="F76" i="2"/>
  <c r="E76" i="2"/>
  <c r="D76" i="2"/>
  <c r="C76" i="2"/>
  <c r="F63" i="2"/>
  <c r="E63" i="2"/>
  <c r="D63" i="2"/>
  <c r="C63" i="2"/>
  <c r="F55" i="2"/>
  <c r="E55" i="2"/>
  <c r="D55" i="2"/>
  <c r="C55" i="2"/>
  <c r="F50" i="2"/>
  <c r="E50" i="2"/>
  <c r="D50" i="2"/>
  <c r="C50" i="2"/>
  <c r="F40" i="2"/>
  <c r="E40" i="2"/>
  <c r="D40" i="2"/>
  <c r="C40" i="2"/>
  <c r="F30" i="2"/>
  <c r="E30" i="2"/>
  <c r="D30" i="2"/>
  <c r="C30" i="2"/>
  <c r="F35" i="1"/>
  <c r="E35" i="1"/>
  <c r="E3" i="4" s="1"/>
  <c r="D35" i="1"/>
  <c r="C35" i="1"/>
  <c r="N21" i="3" l="1"/>
  <c r="N61" i="3" s="1"/>
  <c r="C27" i="4"/>
  <c r="C63" i="4"/>
  <c r="E48" i="3"/>
  <c r="B48" i="4"/>
  <c r="E15" i="4"/>
  <c r="E27" i="4" s="1"/>
  <c r="J32" i="3"/>
  <c r="J17" i="3"/>
  <c r="J19" i="3" s="1"/>
  <c r="J48" i="3"/>
  <c r="J59" i="3" s="1"/>
  <c r="L57" i="3"/>
  <c r="L10" i="3"/>
  <c r="K30" i="3"/>
  <c r="K10" i="3"/>
  <c r="K26" i="3"/>
  <c r="K37" i="3"/>
  <c r="P41" i="3"/>
  <c r="I27" i="3"/>
  <c r="L26" i="3"/>
  <c r="O26" i="3"/>
  <c r="O27" i="3" s="1"/>
  <c r="P10" i="3"/>
  <c r="K40" i="3"/>
  <c r="L37" i="3"/>
  <c r="O10" i="3"/>
  <c r="L40" i="3"/>
  <c r="O45" i="3"/>
  <c r="I19" i="3"/>
  <c r="P16" i="3"/>
  <c r="O30" i="3"/>
  <c r="L35" i="3"/>
  <c r="O37" i="3"/>
  <c r="O54" i="3"/>
  <c r="O57" i="3" s="1"/>
  <c r="I14" i="3"/>
  <c r="I43" i="3"/>
  <c r="P43" i="3" s="1"/>
  <c r="K35" i="3"/>
  <c r="L12" i="3"/>
  <c r="K50" i="3"/>
  <c r="I32" i="3"/>
  <c r="L11" i="3"/>
  <c r="L42" i="3"/>
  <c r="O42" i="3"/>
  <c r="K42" i="3"/>
  <c r="L45" i="3"/>
  <c r="K36" i="3"/>
  <c r="K52" i="3"/>
  <c r="K29" i="3"/>
  <c r="L36" i="3"/>
  <c r="L52" i="3"/>
  <c r="I38" i="3"/>
  <c r="L38" i="3" s="1"/>
  <c r="L29" i="3"/>
  <c r="O34" i="3"/>
  <c r="O36" i="3"/>
  <c r="O52" i="3"/>
  <c r="P11" i="3"/>
  <c r="D61" i="4"/>
  <c r="E61" i="4"/>
  <c r="E48" i="4"/>
  <c r="B61" i="4"/>
  <c r="K34" i="3"/>
  <c r="L50" i="3"/>
  <c r="O43" i="3"/>
  <c r="D41" i="3"/>
  <c r="B32" i="3"/>
  <c r="D32" i="3" s="1"/>
  <c r="D30" i="3"/>
  <c r="E32" i="3"/>
  <c r="K27" i="3"/>
  <c r="L27" i="3"/>
  <c r="D27" i="3"/>
  <c r="K7" i="3"/>
  <c r="L17" i="3"/>
  <c r="J67" i="3"/>
  <c r="K8" i="3"/>
  <c r="K18" i="3"/>
  <c r="I65" i="3"/>
  <c r="L13" i="3"/>
  <c r="D6" i="3"/>
  <c r="O8" i="3"/>
  <c r="D11" i="3"/>
  <c r="O11" i="3"/>
  <c r="L7" i="3"/>
  <c r="O7" i="3"/>
  <c r="O12" i="3"/>
  <c r="E11" i="3"/>
  <c r="B14" i="3"/>
  <c r="B15" i="4" s="1"/>
  <c r="K11" i="3"/>
  <c r="K12" i="3"/>
  <c r="P18" i="3"/>
  <c r="D18" i="3"/>
  <c r="I64" i="3"/>
  <c r="I67" i="3" s="1"/>
  <c r="D16" i="3"/>
  <c r="K57" i="3"/>
  <c r="E43" i="3"/>
  <c r="K17" i="3"/>
  <c r="P17" i="3"/>
  <c r="O18" i="3"/>
  <c r="C19" i="3"/>
  <c r="E17" i="3"/>
  <c r="E17" i="4"/>
  <c r="E29" i="4" s="1"/>
  <c r="P48" i="3"/>
  <c r="D9" i="3"/>
  <c r="P27" i="3"/>
  <c r="E9" i="3"/>
  <c r="D13" i="3"/>
  <c r="K16" i="3"/>
  <c r="B19" i="3"/>
  <c r="P57" i="3"/>
  <c r="E13" i="3"/>
  <c r="O17" i="3"/>
  <c r="D42" i="3"/>
  <c r="D43" i="3" s="1"/>
  <c r="O16" i="3"/>
  <c r="C38" i="3"/>
  <c r="C59" i="3" s="1"/>
  <c r="C17" i="4" s="1"/>
  <c r="C29" i="4" s="1"/>
  <c r="B57" i="3"/>
  <c r="K13" i="3"/>
  <c r="O13" i="3"/>
  <c r="D17" i="3"/>
  <c r="K31" i="3"/>
  <c r="L46" i="3"/>
  <c r="D56" i="3"/>
  <c r="L31" i="3"/>
  <c r="O46" i="3"/>
  <c r="O48" i="3" s="1"/>
  <c r="D48" i="3"/>
  <c r="K46" i="3"/>
  <c r="K48" i="3" s="1"/>
  <c r="O31" i="3"/>
  <c r="O32" i="3" s="1"/>
  <c r="P46" i="3"/>
  <c r="D7" i="4" l="1"/>
  <c r="D19" i="4"/>
  <c r="C7" i="4"/>
  <c r="C9" i="4" s="1"/>
  <c r="C19" i="4"/>
  <c r="B7" i="4"/>
  <c r="B19" i="4"/>
  <c r="J21" i="3"/>
  <c r="J61" i="3" s="1"/>
  <c r="E19" i="4"/>
  <c r="E7" i="4"/>
  <c r="B27" i="4"/>
  <c r="E21" i="4"/>
  <c r="D63" i="4"/>
  <c r="B63" i="4"/>
  <c r="C33" i="4"/>
  <c r="C21" i="3"/>
  <c r="C61" i="3" s="1"/>
  <c r="K38" i="3"/>
  <c r="L48" i="3"/>
  <c r="L43" i="3"/>
  <c r="K32" i="3"/>
  <c r="K43" i="3"/>
  <c r="P38" i="3"/>
  <c r="I59" i="3"/>
  <c r="D17" i="4" s="1"/>
  <c r="K14" i="3"/>
  <c r="I21" i="3"/>
  <c r="D15" i="4"/>
  <c r="O19" i="3"/>
  <c r="O38" i="3"/>
  <c r="E14" i="3"/>
  <c r="E33" i="4"/>
  <c r="L19" i="3"/>
  <c r="J74" i="3"/>
  <c r="O14" i="3"/>
  <c r="K19" i="3"/>
  <c r="P19" i="3"/>
  <c r="E19" i="3"/>
  <c r="E57" i="3"/>
  <c r="D57" i="3"/>
  <c r="B59" i="3"/>
  <c r="E38" i="3"/>
  <c r="P32" i="3"/>
  <c r="L32" i="3"/>
  <c r="D38" i="3"/>
  <c r="D14" i="3"/>
  <c r="D19" i="3" s="1"/>
  <c r="B21" i="3"/>
  <c r="P14" i="3"/>
  <c r="L14" i="3"/>
  <c r="E31" i="4" l="1"/>
  <c r="E9" i="4"/>
  <c r="B9" i="4"/>
  <c r="B31" i="4"/>
  <c r="B33" i="4" s="1"/>
  <c r="C31" i="4"/>
  <c r="C21" i="4"/>
  <c r="D9" i="4"/>
  <c r="D31" i="4"/>
  <c r="D21" i="4"/>
  <c r="D27" i="4"/>
  <c r="D29" i="4"/>
  <c r="D33" i="4"/>
  <c r="O21" i="3"/>
  <c r="K21" i="3"/>
  <c r="K59" i="3"/>
  <c r="O59" i="3"/>
  <c r="D59" i="3"/>
  <c r="B17" i="4"/>
  <c r="P21" i="3"/>
  <c r="L21" i="3"/>
  <c r="I61" i="3"/>
  <c r="B61" i="3"/>
  <c r="D61" i="3" s="1"/>
  <c r="E21" i="3"/>
  <c r="D21" i="3"/>
  <c r="B29" i="4" l="1"/>
  <c r="B21" i="4"/>
  <c r="K61" i="3"/>
  <c r="I74" i="3"/>
  <c r="O61" i="3"/>
</calcChain>
</file>

<file path=xl/sharedStrings.xml><?xml version="1.0" encoding="utf-8"?>
<sst xmlns="http://schemas.openxmlformats.org/spreadsheetml/2006/main" count="614" uniqueCount="415">
  <si>
    <t xml:space="preserve">Account Id                      </t>
  </si>
  <si>
    <t xml:space="preserve">Description                                     </t>
  </si>
  <si>
    <t xml:space="preserve">Current Revenue </t>
  </si>
  <si>
    <t xml:space="preserve">    YTD Revenue </t>
  </si>
  <si>
    <t xml:space="preserve">     Antic YTD* </t>
  </si>
  <si>
    <t xml:space="preserve">        Adopted </t>
  </si>
  <si>
    <t>10-400-0100</t>
  </si>
  <si>
    <t>Transfer Tax</t>
  </si>
  <si>
    <t>10-400-0200</t>
  </si>
  <si>
    <t>Accommodations Tax</t>
  </si>
  <si>
    <t>10-400-0250</t>
  </si>
  <si>
    <t>Hotel Tax</t>
  </si>
  <si>
    <t>10-400-0300</t>
  </si>
  <si>
    <t>Cable TV Franchise</t>
  </si>
  <si>
    <t>10-400-0400</t>
  </si>
  <si>
    <t>Beach Concession Contract</t>
  </si>
  <si>
    <t>10-401-0100</t>
  </si>
  <si>
    <t>Rental License</t>
  </si>
  <si>
    <t>10-401-0300</t>
  </si>
  <si>
    <t>Commerical Business</t>
  </si>
  <si>
    <t>10-401-0500</t>
  </si>
  <si>
    <t>Seasonal</t>
  </si>
  <si>
    <t>10-401-0600</t>
  </si>
  <si>
    <t>Daily</t>
  </si>
  <si>
    <t>10-401-0700</t>
  </si>
  <si>
    <t>Hourly Parking</t>
  </si>
  <si>
    <t>10-401-0800</t>
  </si>
  <si>
    <t>Building Permits</t>
  </si>
  <si>
    <t>10-401-0850</t>
  </si>
  <si>
    <t>Builing Permit Application Fees</t>
  </si>
  <si>
    <t>10-401-0900</t>
  </si>
  <si>
    <t>Beach Fire</t>
  </si>
  <si>
    <t>10-401-1100</t>
  </si>
  <si>
    <t>Dog Licenses</t>
  </si>
  <si>
    <t>10-402-0100</t>
  </si>
  <si>
    <t>Parking Tickets</t>
  </si>
  <si>
    <t>10-402-0150</t>
  </si>
  <si>
    <t>Delinquent Parking Tickets</t>
  </si>
  <si>
    <t>10-402-0300</t>
  </si>
  <si>
    <t>Ordinance Fines &amp; Court Costs</t>
  </si>
  <si>
    <t>10-402-0400</t>
  </si>
  <si>
    <t>Traffic Fines</t>
  </si>
  <si>
    <t>10-402-0700</t>
  </si>
  <si>
    <t>Fines - Other Courts</t>
  </si>
  <si>
    <t>10-404-0100</t>
  </si>
  <si>
    <t>Public Hearing Fees</t>
  </si>
  <si>
    <t>10-404-0300</t>
  </si>
  <si>
    <t>Interest Income</t>
  </si>
  <si>
    <t>10-404-0500</t>
  </si>
  <si>
    <t>Donations</t>
  </si>
  <si>
    <t>10-404-0550</t>
  </si>
  <si>
    <t>Marketing Donations</t>
  </si>
  <si>
    <t>10-404-0600</t>
  </si>
  <si>
    <t>Police Reports</t>
  </si>
  <si>
    <t>10-404-0700</t>
  </si>
  <si>
    <t>Police Extra Duty - Pay Jobs</t>
  </si>
  <si>
    <t>10-404-0750</t>
  </si>
  <si>
    <t>Police Grant Duty</t>
  </si>
  <si>
    <t>10-404-0800</t>
  </si>
  <si>
    <t>Pension State Funding</t>
  </si>
  <si>
    <t>10-404-0900</t>
  </si>
  <si>
    <t>Misc</t>
  </si>
  <si>
    <t>10-404-1000</t>
  </si>
  <si>
    <t>Town Hall Other</t>
  </si>
  <si>
    <t>10-407-0100</t>
  </si>
  <si>
    <t>Donations - Beach Patrol</t>
  </si>
  <si>
    <t>10-407-0200</t>
  </si>
  <si>
    <t>Donations - Jr Lifeguard Prog</t>
  </si>
  <si>
    <t>10-407-0400</t>
  </si>
  <si>
    <t>Police Department</t>
  </si>
  <si>
    <t>10-408-0200</t>
  </si>
  <si>
    <t>Annual in Perpetuity</t>
  </si>
  <si>
    <t/>
  </si>
  <si>
    <t>Final Totals</t>
  </si>
  <si>
    <t xml:space="preserve"> </t>
  </si>
  <si>
    <t>Account Id</t>
  </si>
  <si>
    <t>Description</t>
  </si>
  <si>
    <t>Expended Curr</t>
  </si>
  <si>
    <t>Expended YTD</t>
  </si>
  <si>
    <t>Budget YTD*</t>
  </si>
  <si>
    <t>Adopted Budget</t>
  </si>
  <si>
    <t>10-601-0000</t>
  </si>
  <si>
    <t>Town Expenses</t>
  </si>
  <si>
    <t>10-601-0100</t>
  </si>
  <si>
    <t>Administrative</t>
  </si>
  <si>
    <t>10-601-0101</t>
  </si>
  <si>
    <t>Banking, Collection &amp; Credit Card Fees</t>
  </si>
  <si>
    <t>10-601-0200</t>
  </si>
  <si>
    <t>Commissioner &amp; Committee Exp</t>
  </si>
  <si>
    <t>10-601-0250</t>
  </si>
  <si>
    <t>Election Expenses</t>
  </si>
  <si>
    <t>10-601-0300</t>
  </si>
  <si>
    <t>10-601-0400</t>
  </si>
  <si>
    <t>Code Update</t>
  </si>
  <si>
    <t>10-601-0500</t>
  </si>
  <si>
    <t>Legal Fees - Regular</t>
  </si>
  <si>
    <t>10-601-0600</t>
  </si>
  <si>
    <t>Audit Fees</t>
  </si>
  <si>
    <t>10-601-0800</t>
  </si>
  <si>
    <t>Beach &amp; Marketing Events</t>
  </si>
  <si>
    <t>10-601-0850</t>
  </si>
  <si>
    <t>Donation / Sponsorship Purchase</t>
  </si>
  <si>
    <t>10-601-0900</t>
  </si>
  <si>
    <t>Computer Hardware, Software &amp; Support</t>
  </si>
  <si>
    <t>10-601-1000</t>
  </si>
  <si>
    <t>Employee Bonuses</t>
  </si>
  <si>
    <t>10-601-1050</t>
  </si>
  <si>
    <t>Payroll Expenses</t>
  </si>
  <si>
    <t>10-601-1075</t>
  </si>
  <si>
    <t>Compensated Absence Exp.</t>
  </si>
  <si>
    <t>10-601-1100</t>
  </si>
  <si>
    <t>Legal Ads</t>
  </si>
  <si>
    <t>10-601-1200</t>
  </si>
  <si>
    <t>Dues Publications &amp; Subscriptio</t>
  </si>
  <si>
    <t>10-601-1300</t>
  </si>
  <si>
    <t>Cleaning</t>
  </si>
  <si>
    <t>10-601-1325</t>
  </si>
  <si>
    <t>Pest Control</t>
  </si>
  <si>
    <t>10-601-1350</t>
  </si>
  <si>
    <t>Building Maintenance</t>
  </si>
  <si>
    <t>10-601-1375</t>
  </si>
  <si>
    <t>Utilities</t>
  </si>
  <si>
    <t>10-601-1500</t>
  </si>
  <si>
    <t>Gas</t>
  </si>
  <si>
    <t>10-601-1525</t>
  </si>
  <si>
    <t>Electric Vehicle Charging</t>
  </si>
  <si>
    <t>10-601-1550</t>
  </si>
  <si>
    <t>Mileage Reimbursement</t>
  </si>
  <si>
    <t>10-601-1575</t>
  </si>
  <si>
    <t>Auto Maintenance &amp; Repairs</t>
  </si>
  <si>
    <t>10-601-1600</t>
  </si>
  <si>
    <t>Postage</t>
  </si>
  <si>
    <t>10-601-1700</t>
  </si>
  <si>
    <t>Professional Fees</t>
  </si>
  <si>
    <t>10-601-1800</t>
  </si>
  <si>
    <t>Supplies</t>
  </si>
  <si>
    <t>Control Total</t>
  </si>
  <si>
    <t>10-601-2000</t>
  </si>
  <si>
    <t>Operating</t>
  </si>
  <si>
    <t>10-601-2002</t>
  </si>
  <si>
    <t>Bayard Avenue Operating</t>
  </si>
  <si>
    <t>10-601-2100</t>
  </si>
  <si>
    <t>Beautification</t>
  </si>
  <si>
    <t>10-601-2200</t>
  </si>
  <si>
    <t>Trash</t>
  </si>
  <si>
    <t>10-601-2300</t>
  </si>
  <si>
    <t>Street Signs / Lights</t>
  </si>
  <si>
    <t>10-601-2400</t>
  </si>
  <si>
    <t>Parking Meter / Permit Expenses</t>
  </si>
  <si>
    <t>10-601-2725</t>
  </si>
  <si>
    <t>Rental Expense</t>
  </si>
  <si>
    <t>10-601-2750</t>
  </si>
  <si>
    <t>Town Street Projects</t>
  </si>
  <si>
    <t>10-601-2800</t>
  </si>
  <si>
    <t>Storm Water / Street Flooding</t>
  </si>
  <si>
    <t>10-602-0000</t>
  </si>
  <si>
    <t>Administration</t>
  </si>
  <si>
    <t>10-602-0100</t>
  </si>
  <si>
    <t>Employee Expenses</t>
  </si>
  <si>
    <t>10-602-0101</t>
  </si>
  <si>
    <t>Salary &amp; Wages</t>
  </si>
  <si>
    <t>10-602-0102</t>
  </si>
  <si>
    <t>Overtime</t>
  </si>
  <si>
    <t>10-602-0110</t>
  </si>
  <si>
    <t>Payroll Taxes</t>
  </si>
  <si>
    <t>10-602-0130</t>
  </si>
  <si>
    <t>Employee Benefits</t>
  </si>
  <si>
    <t>10-602-0140</t>
  </si>
  <si>
    <t>Pension Plan</t>
  </si>
  <si>
    <t>10-602-0150</t>
  </si>
  <si>
    <t>Uniforms</t>
  </si>
  <si>
    <t>10-602-0160</t>
  </si>
  <si>
    <t>Workers Comp</t>
  </si>
  <si>
    <t>10-602-0300</t>
  </si>
  <si>
    <t>Seasonal Employee Expenses</t>
  </si>
  <si>
    <t>10-602-0301</t>
  </si>
  <si>
    <t>10-602-0310</t>
  </si>
  <si>
    <t>10-602-0360</t>
  </si>
  <si>
    <t>10-602-0500</t>
  </si>
  <si>
    <t>Building Expenses</t>
  </si>
  <si>
    <t>10-602-0600</t>
  </si>
  <si>
    <t>Vehicles</t>
  </si>
  <si>
    <t>10-602-1000</t>
  </si>
  <si>
    <t>10-602-1200</t>
  </si>
  <si>
    <t>Insurance</t>
  </si>
  <si>
    <t>10-602-1400</t>
  </si>
  <si>
    <t>Training</t>
  </si>
  <si>
    <t>10-602-1700</t>
  </si>
  <si>
    <t>10-602-2050</t>
  </si>
  <si>
    <t>Equipment / Asset - Depreciable</t>
  </si>
  <si>
    <t>10-603-0000</t>
  </si>
  <si>
    <t>Police</t>
  </si>
  <si>
    <t>10-603-0100</t>
  </si>
  <si>
    <t>10-603-0101</t>
  </si>
  <si>
    <t>10-603-0102</t>
  </si>
  <si>
    <t>10-603-0103</t>
  </si>
  <si>
    <t>Special Duty 1 - Pay Jobs</t>
  </si>
  <si>
    <t>10-603-0104</t>
  </si>
  <si>
    <t>Special Duty 2 - Extra Duty</t>
  </si>
  <si>
    <t>10-603-0105</t>
  </si>
  <si>
    <t>Grant OT</t>
  </si>
  <si>
    <t>10-603-0110</t>
  </si>
  <si>
    <t>10-603-0130</t>
  </si>
  <si>
    <t>10-603-0140</t>
  </si>
  <si>
    <t>10-603-0150</t>
  </si>
  <si>
    <t>10-603-0160</t>
  </si>
  <si>
    <t>10-603-0200</t>
  </si>
  <si>
    <t>Admin Employee Expenses</t>
  </si>
  <si>
    <t>10-603-0201</t>
  </si>
  <si>
    <t>10-603-0202</t>
  </si>
  <si>
    <t>10-603-0210</t>
  </si>
  <si>
    <t>10-603-0230</t>
  </si>
  <si>
    <t>10-603-0240</t>
  </si>
  <si>
    <t>10-603-0250</t>
  </si>
  <si>
    <t>10-603-0260</t>
  </si>
  <si>
    <t>10-603-0300</t>
  </si>
  <si>
    <t>10-603-0301</t>
  </si>
  <si>
    <t>10-603-0302</t>
  </si>
  <si>
    <t>10-603-0310</t>
  </si>
  <si>
    <t>10-603-0350</t>
  </si>
  <si>
    <t>10-603-0360</t>
  </si>
  <si>
    <t>10-603-0400</t>
  </si>
  <si>
    <t>Outside Assistance - Events</t>
  </si>
  <si>
    <t>10-603-0500</t>
  </si>
  <si>
    <t>10-603-0600</t>
  </si>
  <si>
    <t>10-603-1000</t>
  </si>
  <si>
    <t>10-603-1125</t>
  </si>
  <si>
    <t>New Hire Fees</t>
  </si>
  <si>
    <t>10-603-1200</t>
  </si>
  <si>
    <t>10-603-1300</t>
  </si>
  <si>
    <t>10-603-1400</t>
  </si>
  <si>
    <t>Training - Year Round Officers</t>
  </si>
  <si>
    <t>10-603-1425</t>
  </si>
  <si>
    <t>Training - Admin Employees</t>
  </si>
  <si>
    <t>10-603-1450</t>
  </si>
  <si>
    <t>Training - Seasonal Officers</t>
  </si>
  <si>
    <t>10-603-1475</t>
  </si>
  <si>
    <t>Weapons / Ammunition</t>
  </si>
  <si>
    <t>10-603-1550</t>
  </si>
  <si>
    <t>K9 Program</t>
  </si>
  <si>
    <t>10-603-1700</t>
  </si>
  <si>
    <t>10-603-1800</t>
  </si>
  <si>
    <t>Equipment Maintenance</t>
  </si>
  <si>
    <t>10-603-1900</t>
  </si>
  <si>
    <t>Drug Testing</t>
  </si>
  <si>
    <t>10-603-2000</t>
  </si>
  <si>
    <t>Equipment / Asset Purchase</t>
  </si>
  <si>
    <t>10-603-2050</t>
  </si>
  <si>
    <t>10-604-0000</t>
  </si>
  <si>
    <t>Maintenance</t>
  </si>
  <si>
    <t>10-604-0100</t>
  </si>
  <si>
    <t>10-604-0101</t>
  </si>
  <si>
    <t>10-604-0102</t>
  </si>
  <si>
    <t>10-604-0110</t>
  </si>
  <si>
    <t>10-604-0130</t>
  </si>
  <si>
    <t>10-604-0140</t>
  </si>
  <si>
    <t>10-604-0150</t>
  </si>
  <si>
    <t>10-604-0160</t>
  </si>
  <si>
    <t>10-604-0300</t>
  </si>
  <si>
    <t>10-604-0301</t>
  </si>
  <si>
    <t>10-604-0310</t>
  </si>
  <si>
    <t>10-604-0350</t>
  </si>
  <si>
    <t>10-604-0360</t>
  </si>
  <si>
    <t>10-604-0500</t>
  </si>
  <si>
    <t>10-604-0501</t>
  </si>
  <si>
    <t>10-604-0530</t>
  </si>
  <si>
    <t>10-604-0600</t>
  </si>
  <si>
    <t>10-604-1000</t>
  </si>
  <si>
    <t>10-604-1500</t>
  </si>
  <si>
    <t>10-604-1700</t>
  </si>
  <si>
    <t>10-604-1800</t>
  </si>
  <si>
    <t>10-605-0000</t>
  </si>
  <si>
    <t>Parking Enforcement</t>
  </si>
  <si>
    <t>10-605-0100</t>
  </si>
  <si>
    <t>10-605-0101</t>
  </si>
  <si>
    <t>10-605-0102</t>
  </si>
  <si>
    <t>10-605-0110</t>
  </si>
  <si>
    <t>10-605-0130</t>
  </si>
  <si>
    <t>10-605-0150</t>
  </si>
  <si>
    <t>10-605-0160</t>
  </si>
  <si>
    <t>10-605-0300</t>
  </si>
  <si>
    <t>10-605-0301</t>
  </si>
  <si>
    <t>10-605-0302</t>
  </si>
  <si>
    <t>10-605-0310</t>
  </si>
  <si>
    <t>10-605-0350</t>
  </si>
  <si>
    <t>10-605-0360</t>
  </si>
  <si>
    <t>10-605-0500</t>
  </si>
  <si>
    <t>10-605-0600</t>
  </si>
  <si>
    <t>10-605-1000</t>
  </si>
  <si>
    <t>10-605-1700</t>
  </si>
  <si>
    <t>10-605-1800</t>
  </si>
  <si>
    <t>10-606-0000</t>
  </si>
  <si>
    <t>Building Official</t>
  </si>
  <si>
    <t>10-606-0100</t>
  </si>
  <si>
    <t>10-606-0101</t>
  </si>
  <si>
    <t>10-606-0110</t>
  </si>
  <si>
    <t>10-606-0130</t>
  </si>
  <si>
    <t>10-606-0140</t>
  </si>
  <si>
    <t>10-606-0150</t>
  </si>
  <si>
    <t>10-606-0160</t>
  </si>
  <si>
    <t>10-606-0600</t>
  </si>
  <si>
    <t>10-606-1000</t>
  </si>
  <si>
    <t>10-606-1400</t>
  </si>
  <si>
    <t>10-607-0000</t>
  </si>
  <si>
    <t>Alderman</t>
  </si>
  <si>
    <t>10-607-0100</t>
  </si>
  <si>
    <t>10-607-0101</t>
  </si>
  <si>
    <t>10-607-0110</t>
  </si>
  <si>
    <t>10-607-0160</t>
  </si>
  <si>
    <t>10-608-0000</t>
  </si>
  <si>
    <t>Beach Patrol</t>
  </si>
  <si>
    <t>10-608-0100</t>
  </si>
  <si>
    <t>10-608-0101</t>
  </si>
  <si>
    <t>10-608-0110</t>
  </si>
  <si>
    <t>10-608-0130</t>
  </si>
  <si>
    <t>10-608-0160</t>
  </si>
  <si>
    <t>10-608-0301</t>
  </si>
  <si>
    <t>10-608-0302</t>
  </si>
  <si>
    <t>10-608-0310</t>
  </si>
  <si>
    <t>10-608-0350</t>
  </si>
  <si>
    <t>10-608-0360</t>
  </si>
  <si>
    <t>10-608-0500</t>
  </si>
  <si>
    <t>10-608-0501</t>
  </si>
  <si>
    <t>10-608-0510</t>
  </si>
  <si>
    <t>10-608-0520</t>
  </si>
  <si>
    <t>10-608-0530</t>
  </si>
  <si>
    <t>10-608-0600</t>
  </si>
  <si>
    <t>10-608-1000</t>
  </si>
  <si>
    <t>10-608-1200</t>
  </si>
  <si>
    <t>10-608-1300</t>
  </si>
  <si>
    <t>10-608-1400</t>
  </si>
  <si>
    <t>10-608-1500</t>
  </si>
  <si>
    <t>10-608-1700</t>
  </si>
  <si>
    <t>10-608-1800</t>
  </si>
  <si>
    <t>DBP Donations Purchases</t>
  </si>
  <si>
    <t>10-608-1900</t>
  </si>
  <si>
    <t>10-800-0500</t>
  </si>
  <si>
    <t>Depreciation Expense</t>
  </si>
  <si>
    <t>10-999-9999</t>
  </si>
  <si>
    <t>Suspense</t>
  </si>
  <si>
    <t>UNAUDITED</t>
  </si>
  <si>
    <t>Monthly</t>
  </si>
  <si>
    <t>Annual FY26</t>
  </si>
  <si>
    <t>Budget</t>
  </si>
  <si>
    <t>$OverBud</t>
  </si>
  <si>
    <t>% of Budget</t>
  </si>
  <si>
    <t>Revenue</t>
  </si>
  <si>
    <t>% of  YTD Budget</t>
  </si>
  <si>
    <t>Annual Budget</t>
  </si>
  <si>
    <t>% of Annual Budget</t>
  </si>
  <si>
    <t>Accommodation Tax</t>
  </si>
  <si>
    <t>Business Licenses</t>
  </si>
  <si>
    <t>Parking Permits &amp; Meters</t>
  </si>
  <si>
    <t>Total Fines</t>
  </si>
  <si>
    <t>All Other Revenue</t>
  </si>
  <si>
    <t>Total Revenue</t>
  </si>
  <si>
    <t>Building Permints - to Streets &amp; Infrastructure</t>
  </si>
  <si>
    <t>Hotel Tax - to Capital Improvements - Town Hall</t>
  </si>
  <si>
    <t>Allocations</t>
  </si>
  <si>
    <t>Net Revenues</t>
  </si>
  <si>
    <t>Expenses</t>
  </si>
  <si>
    <t xml:space="preserve">Town Administrative Expenses </t>
  </si>
  <si>
    <t>Town Operating Expenses</t>
  </si>
  <si>
    <t>Total Town Expenses</t>
  </si>
  <si>
    <t>Seasonal Admin Employee Expenses</t>
  </si>
  <si>
    <t>All Other Admin Expense</t>
  </si>
  <si>
    <t>Total Administration Expenses</t>
  </si>
  <si>
    <t>Police Employee Expenses</t>
  </si>
  <si>
    <t>Police Admin Employee Expenses</t>
  </si>
  <si>
    <t>Seasonal Police Employee Expenses</t>
  </si>
  <si>
    <t>All Other Police Expenses</t>
  </si>
  <si>
    <t>Total Police Expenses</t>
  </si>
  <si>
    <t>Maintenance Employee Expenses</t>
  </si>
  <si>
    <t>Seasonal Maintenance Employee Expenses</t>
  </si>
  <si>
    <t>All Other Maintenance Expenses</t>
  </si>
  <si>
    <t>Total Maintenance Expenses</t>
  </si>
  <si>
    <t>Parking Enforcement Employee Expenses</t>
  </si>
  <si>
    <t>Seasonal Parking Employee Expenses</t>
  </si>
  <si>
    <t>All Other Parking Enforcement Expenses</t>
  </si>
  <si>
    <t>Total Parking Enforcement Expenses</t>
  </si>
  <si>
    <t>Total BuildingOfficial Expenses</t>
  </si>
  <si>
    <t>Total Alderman Court Expenses</t>
  </si>
  <si>
    <t>Lifeguard Employee Expenses</t>
  </si>
  <si>
    <t>Seasonal Lifeguard Employee Expenses</t>
  </si>
  <si>
    <t>All Other Lifeguard &amp; LSS Expense</t>
  </si>
  <si>
    <t>Total Lifeguard &amp; LSS Expenses</t>
  </si>
  <si>
    <t>Total Expense</t>
  </si>
  <si>
    <t>Net Operating Budget Performance</t>
  </si>
  <si>
    <t>Set Asides:</t>
  </si>
  <si>
    <t>Transfer to Streets / Infrastructure</t>
  </si>
  <si>
    <t>3% Transfer Tax</t>
  </si>
  <si>
    <t>20% Building Permits</t>
  </si>
  <si>
    <t>5% Daily &amp; Seasonal Permits</t>
  </si>
  <si>
    <t>Total to Streets / Infrastructure</t>
  </si>
  <si>
    <t>Capital Improvements</t>
  </si>
  <si>
    <t>Hotel Tax (50%)</t>
  </si>
  <si>
    <t>Total for Captial Improvements</t>
  </si>
  <si>
    <t>Net Operations</t>
  </si>
  <si>
    <t>General Fund Financial Overview: May 2026 - OPERATING</t>
  </si>
  <si>
    <t>Budgeted April - May 2026</t>
  </si>
  <si>
    <t>Actual April - May 2026</t>
  </si>
  <si>
    <t>Expenditures</t>
  </si>
  <si>
    <t>Net</t>
  </si>
  <si>
    <t>Current</t>
  </si>
  <si>
    <t>Budgeted</t>
  </si>
  <si>
    <t>YTD</t>
  </si>
  <si>
    <t>YTD Budget</t>
  </si>
  <si>
    <t>COMPLETE REVENUE &amp; EXPENSES</t>
  </si>
  <si>
    <t>OPERATING REVENUE &amp; EXPENSES</t>
  </si>
  <si>
    <t>DIFFERENCE</t>
  </si>
  <si>
    <t>ACCOUNTS PULLED OUT</t>
  </si>
  <si>
    <t>REVENUES</t>
  </si>
  <si>
    <t>EXPENSES</t>
  </si>
  <si>
    <t>NET</t>
  </si>
  <si>
    <t>Parking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</si>
</sst>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4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right"/>
    </xf>
    <xf numFmtId="9" fontId="5" fillId="0" borderId="0" xfId="3" applyFont="1"/>
    <xf numFmtId="0" fontId="5" fillId="0" borderId="0" xfId="2" applyFont="1"/>
    <xf numFmtId="0" fontId="7" fillId="0" borderId="0" xfId="2" applyFont="1"/>
    <xf numFmtId="0" fontId="8" fillId="0" borderId="0" xfId="2" applyFont="1"/>
    <xf numFmtId="164" fontId="8" fillId="0" borderId="0" xfId="4" applyNumberFormat="1" applyFont="1"/>
    <xf numFmtId="165" fontId="5" fillId="0" borderId="2" xfId="2" quotePrefix="1" applyNumberFormat="1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164" fontId="5" fillId="0" borderId="2" xfId="4" applyNumberFormat="1" applyFont="1" applyBorder="1" applyAlignment="1">
      <alignment horizontal="center"/>
    </xf>
    <xf numFmtId="0" fontId="5" fillId="0" borderId="2" xfId="2" applyFont="1" applyBorder="1" applyAlignment="1">
      <alignment horizontal="center" wrapText="1"/>
    </xf>
    <xf numFmtId="0" fontId="9" fillId="0" borderId="0" xfId="2" applyFont="1" applyAlignment="1">
      <alignment horizontal="center"/>
    </xf>
    <xf numFmtId="16" fontId="5" fillId="0" borderId="2" xfId="2" quotePrefix="1" applyNumberFormat="1" applyFont="1" applyBorder="1" applyAlignment="1">
      <alignment horizontal="center" wrapText="1"/>
    </xf>
    <xf numFmtId="16" fontId="5" fillId="0" borderId="2" xfId="2" applyNumberFormat="1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164" fontId="8" fillId="0" borderId="3" xfId="4" applyNumberFormat="1" applyFont="1" applyBorder="1"/>
    <xf numFmtId="9" fontId="8" fillId="0" borderId="0" xfId="3" applyFont="1" applyAlignment="1">
      <alignment horizontal="center"/>
    </xf>
    <xf numFmtId="164" fontId="5" fillId="3" borderId="3" xfId="4" applyNumberFormat="1" applyFont="1" applyFill="1" applyBorder="1"/>
    <xf numFmtId="0" fontId="5" fillId="3" borderId="0" xfId="2" applyFont="1" applyFill="1"/>
    <xf numFmtId="164" fontId="8" fillId="0" borderId="0" xfId="2" applyNumberFormat="1" applyFont="1"/>
    <xf numFmtId="0" fontId="8" fillId="0" borderId="0" xfId="2" applyFont="1" applyAlignment="1">
      <alignment horizontal="center"/>
    </xf>
    <xf numFmtId="9" fontId="8" fillId="0" borderId="0" xfId="2" applyNumberFormat="1" applyFont="1"/>
    <xf numFmtId="0" fontId="10" fillId="0" borderId="0" xfId="2" applyFont="1"/>
    <xf numFmtId="0" fontId="5" fillId="0" borderId="2" xfId="2" applyFont="1" applyBorder="1"/>
    <xf numFmtId="164" fontId="5" fillId="0" borderId="2" xfId="4" applyNumberFormat="1" applyFont="1" applyBorder="1"/>
    <xf numFmtId="9" fontId="5" fillId="0" borderId="0" xfId="3" applyFont="1" applyAlignment="1">
      <alignment horizontal="center"/>
    </xf>
    <xf numFmtId="164" fontId="8" fillId="0" borderId="4" xfId="4" applyNumberFormat="1" applyFont="1" applyBorder="1"/>
    <xf numFmtId="164" fontId="5" fillId="4" borderId="3" xfId="4" applyNumberFormat="1" applyFont="1" applyFill="1" applyBorder="1"/>
    <xf numFmtId="43" fontId="8" fillId="0" borderId="0" xfId="4" applyFont="1"/>
    <xf numFmtId="9" fontId="8" fillId="0" borderId="0" xfId="3" applyFont="1" applyBorder="1" applyAlignment="1">
      <alignment horizontal="center"/>
    </xf>
    <xf numFmtId="3" fontId="5" fillId="0" borderId="0" xfId="2" applyNumberFormat="1" applyFont="1"/>
    <xf numFmtId="0" fontId="11" fillId="0" borderId="0" xfId="2" applyFont="1"/>
    <xf numFmtId="164" fontId="11" fillId="0" borderId="0" xfId="4" applyNumberFormat="1" applyFont="1" applyFill="1"/>
    <xf numFmtId="0" fontId="11" fillId="0" borderId="0" xfId="2" applyFont="1" applyAlignment="1">
      <alignment wrapText="1"/>
    </xf>
    <xf numFmtId="164" fontId="11" fillId="0" borderId="0" xfId="4" applyNumberFormat="1" applyFont="1"/>
    <xf numFmtId="0" fontId="11" fillId="5" borderId="0" xfId="2" applyFont="1" applyFill="1"/>
    <xf numFmtId="0" fontId="11" fillId="5" borderId="0" xfId="2" applyFont="1" applyFill="1" applyAlignment="1">
      <alignment wrapText="1"/>
    </xf>
    <xf numFmtId="164" fontId="11" fillId="5" borderId="0" xfId="4" applyNumberFormat="1" applyFont="1" applyFill="1"/>
    <xf numFmtId="164" fontId="11" fillId="0" borderId="0" xfId="4" applyNumberFormat="1" applyFont="1" applyFill="1" applyAlignment="1">
      <alignment vertical="top"/>
    </xf>
    <xf numFmtId="49" fontId="11" fillId="0" borderId="0" xfId="4" applyNumberFormat="1" applyFont="1" applyAlignment="1">
      <alignment wrapText="1"/>
    </xf>
    <xf numFmtId="49" fontId="11" fillId="0" borderId="0" xfId="4" applyNumberFormat="1" applyFont="1" applyAlignment="1"/>
    <xf numFmtId="164" fontId="11" fillId="5" borderId="0" xfId="2" applyNumberFormat="1" applyFont="1" applyFill="1"/>
    <xf numFmtId="9" fontId="11" fillId="0" borderId="0" xfId="3" applyFont="1"/>
    <xf numFmtId="164" fontId="10" fillId="0" borderId="0" xfId="4" applyNumberFormat="1" applyFont="1" applyFill="1"/>
    <xf numFmtId="164" fontId="10" fillId="0" borderId="0" xfId="2" applyNumberFormat="1" applyFont="1"/>
    <xf numFmtId="43" fontId="8" fillId="0" borderId="0" xfId="2" applyNumberFormat="1" applyFont="1"/>
    <xf numFmtId="43" fontId="0" fillId="0" borderId="0" xfId="1" applyFont="1"/>
    <xf numFmtId="0" fontId="12" fillId="0" borderId="2" xfId="0" applyFont="1" applyBorder="1"/>
    <xf numFmtId="43" fontId="12" fillId="0" borderId="0" xfId="1" applyFont="1"/>
    <xf numFmtId="43" fontId="12" fillId="0" borderId="2" xfId="1" applyFont="1" applyBorder="1"/>
    <xf numFmtId="164" fontId="12" fillId="0" borderId="2" xfId="0" applyNumberFormat="1" applyFont="1" applyBorder="1"/>
    <xf numFmtId="164" fontId="12" fillId="0" borderId="0" xfId="1" applyNumberFormat="1" applyFont="1"/>
    <xf numFmtId="164" fontId="12" fillId="0" borderId="2" xfId="1" applyNumberFormat="1" applyFont="1" applyBorder="1"/>
    <xf numFmtId="164" fontId="0" fillId="0" borderId="0" xfId="1" applyNumberFormat="1" applyFont="1"/>
    <xf numFmtId="164" fontId="0" fillId="0" borderId="0" xfId="0" applyNumberFormat="1"/>
    <xf numFmtId="164" fontId="3" fillId="2" borderId="1" xfId="1" applyNumberFormat="1" applyFont="1" applyFill="1" applyBorder="1" applyProtection="1">
      <protection locked="0"/>
    </xf>
    <xf numFmtId="164" fontId="0" fillId="0" borderId="0" xfId="1" applyNumberFormat="1" applyFont="1" applyProtection="1">
      <protection locked="0"/>
    </xf>
    <xf numFmtId="164" fontId="4" fillId="2" borderId="0" xfId="1" applyNumberFormat="1" applyFont="1" applyFill="1" applyProtection="1">
      <protection locked="0"/>
    </xf>
    <xf numFmtId="0" fontId="11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12" fillId="0" borderId="0" xfId="0" applyFont="1" applyAlignment="1">
      <alignment horizontal="center"/>
    </xf>
    <xf numFmtId="43" fontId="12" fillId="0" borderId="0" xfId="1" applyFont="1" applyAlignment="1">
      <alignment horizontal="center"/>
    </xf>
    <xf numFmtId="164" fontId="3" fillId="2" borderId="0" xfId="1" applyNumberFormat="1" applyFont="1" applyFill="1" applyProtection="1">
      <protection locked="0"/>
    </xf>
  </cellXfs>
  <cellStyles count="5">
    <cellStyle name="Comma" xfId="1" builtinId="3"/>
    <cellStyle name="Comma 2" xfId="4" xr:uid="{77B6A902-A67D-45AB-A3F8-BDD8122CBACB}"/>
    <cellStyle name="Normal" xfId="0" builtinId="0"/>
    <cellStyle name="Normal 2" xfId="2" xr:uid="{1067C4AA-8B55-45D6-BF82-D1B0FD03DA24}"/>
    <cellStyle name="Percent 2" xfId="3" xr:uid="{7BDDBD1A-8720-4CCC-86D2-814B05AF4C0D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7765D-43F8-46ED-A987-B29A1B398B49}">
  <sheetPr>
    <pageSetUpPr fitToPage="1"/>
  </sheetPr>
  <dimension ref="A1:W82"/>
  <sheetViews>
    <sheetView tabSelected="1" topLeftCell="A43" zoomScale="120" zoomScaleNormal="120" workbookViewId="0">
      <selection activeCell="J16" sqref="J16"/>
    </sheetView>
  </sheetViews>
  <sheetFormatPr defaultColWidth="15.7109375" defaultRowHeight="12" x14ac:dyDescent="0.2"/>
  <cols>
    <col min="1" max="1" width="4.5703125" style="10" bestFit="1" customWidth="1"/>
    <col min="2" max="2" width="13" style="10" customWidth="1"/>
    <col min="3" max="3" width="11" style="10" bestFit="1" customWidth="1"/>
    <col min="4" max="4" width="12.85546875" style="11" bestFit="1" customWidth="1"/>
    <col min="5" max="5" width="8.42578125" style="10" bestFit="1" customWidth="1"/>
    <col min="6" max="6" width="5.7109375" style="10" customWidth="1"/>
    <col min="7" max="7" width="38" style="10" bestFit="1" customWidth="1"/>
    <col min="8" max="8" width="1.7109375" style="10" customWidth="1"/>
    <col min="9" max="9" width="14.85546875" style="10" customWidth="1"/>
    <col min="10" max="10" width="16.5703125" style="10" customWidth="1"/>
    <col min="11" max="11" width="14.28515625" style="11" bestFit="1" customWidth="1"/>
    <col min="12" max="12" width="14.140625" style="10" customWidth="1"/>
    <col min="13" max="13" width="2.7109375" style="10" customWidth="1"/>
    <col min="14" max="14" width="14.7109375" style="10" bestFit="1" customWidth="1"/>
    <col min="15" max="15" width="14.28515625" style="11" bestFit="1" customWidth="1"/>
    <col min="16" max="16" width="13.5703125" style="10" bestFit="1" customWidth="1"/>
    <col min="17" max="17" width="15.7109375" style="10"/>
    <col min="18" max="18" width="0" style="10" hidden="1" customWidth="1"/>
    <col min="19" max="19" width="15.7109375" style="10"/>
    <col min="20" max="20" width="0" style="10" hidden="1" customWidth="1"/>
    <col min="21" max="21" width="15.7109375" style="10"/>
    <col min="22" max="22" width="0" style="10" hidden="1" customWidth="1"/>
    <col min="23" max="16384" width="15.7109375" style="10"/>
  </cols>
  <sheetData>
    <row r="1" spans="2:17" s="8" customFormat="1" x14ac:dyDescent="0.2">
      <c r="B1" s="64" t="s">
        <v>398</v>
      </c>
      <c r="C1" s="64"/>
      <c r="D1" s="64"/>
      <c r="E1" s="64"/>
      <c r="F1" s="64"/>
      <c r="G1" s="64"/>
      <c r="H1" s="6"/>
      <c r="I1" s="65" t="s">
        <v>340</v>
      </c>
      <c r="J1" s="65"/>
      <c r="K1" s="65"/>
      <c r="L1" s="65"/>
      <c r="M1" s="65"/>
      <c r="N1" s="65"/>
      <c r="O1" s="65"/>
      <c r="P1" s="65"/>
      <c r="Q1" s="7"/>
    </row>
    <row r="2" spans="2:17" x14ac:dyDescent="0.2">
      <c r="B2" s="9"/>
    </row>
    <row r="3" spans="2:17" x14ac:dyDescent="0.2">
      <c r="B3" s="64" t="s">
        <v>341</v>
      </c>
      <c r="C3" s="64"/>
      <c r="D3" s="64"/>
      <c r="E3" s="64"/>
      <c r="I3" s="64" t="s">
        <v>342</v>
      </c>
      <c r="J3" s="64"/>
      <c r="K3" s="64"/>
      <c r="L3" s="64"/>
      <c r="M3" s="64"/>
      <c r="N3" s="64"/>
      <c r="O3" s="64"/>
      <c r="P3" s="64"/>
    </row>
    <row r="4" spans="2:17" s="8" customFormat="1" ht="24" x14ac:dyDescent="0.2">
      <c r="B4" s="12">
        <v>46173</v>
      </c>
      <c r="C4" s="13" t="s">
        <v>343</v>
      </c>
      <c r="D4" s="14" t="s">
        <v>344</v>
      </c>
      <c r="E4" s="15" t="s">
        <v>345</v>
      </c>
      <c r="F4" s="5"/>
      <c r="G4" s="16" t="s">
        <v>346</v>
      </c>
      <c r="H4" s="5"/>
      <c r="I4" s="17" t="s">
        <v>400</v>
      </c>
      <c r="J4" s="18" t="s">
        <v>399</v>
      </c>
      <c r="K4" s="14" t="s">
        <v>344</v>
      </c>
      <c r="L4" s="15" t="s">
        <v>347</v>
      </c>
      <c r="M4" s="19"/>
      <c r="N4" s="15" t="s">
        <v>348</v>
      </c>
      <c r="O4" s="14" t="s">
        <v>344</v>
      </c>
      <c r="P4" s="15" t="s">
        <v>349</v>
      </c>
    </row>
    <row r="6" spans="2:17" x14ac:dyDescent="0.2">
      <c r="B6" s="20">
        <f>+Revenues!C2</f>
        <v>400620.32</v>
      </c>
      <c r="C6" s="20">
        <f>+Revenues!E2</f>
        <v>85000</v>
      </c>
      <c r="D6" s="20">
        <f t="shared" ref="D6:D13" si="0">B6-C6</f>
        <v>315620.32</v>
      </c>
      <c r="E6" s="21">
        <f t="shared" ref="E6:E14" si="1">+B6/C6</f>
        <v>4.7131802352941179</v>
      </c>
      <c r="G6" s="10" t="s">
        <v>7</v>
      </c>
      <c r="H6" s="10" t="s">
        <v>74</v>
      </c>
      <c r="I6" s="20">
        <f>+Revenues!D2</f>
        <v>400620.32</v>
      </c>
      <c r="J6" s="20">
        <f>+Revenues!E2</f>
        <v>85000</v>
      </c>
      <c r="K6" s="20">
        <f t="shared" ref="K6:K13" si="2">I6-J6</f>
        <v>315620.32</v>
      </c>
      <c r="L6" s="21">
        <v>0</v>
      </c>
      <c r="M6" s="21"/>
      <c r="N6" s="20">
        <v>850000</v>
      </c>
      <c r="O6" s="20">
        <f t="shared" ref="O6:O13" si="3">I6-N6</f>
        <v>-449379.68</v>
      </c>
      <c r="P6" s="21">
        <f t="shared" ref="P6:P14" si="4">+I6/N6</f>
        <v>0.47131802352941177</v>
      </c>
    </row>
    <row r="7" spans="2:17" x14ac:dyDescent="0.2">
      <c r="B7" s="20">
        <f>+Revenues!C3</f>
        <v>34350.160000000003</v>
      </c>
      <c r="C7" s="20">
        <v>16700</v>
      </c>
      <c r="D7" s="20">
        <f t="shared" si="0"/>
        <v>17650.160000000003</v>
      </c>
      <c r="E7" s="21">
        <f t="shared" si="1"/>
        <v>2.0568958083832336</v>
      </c>
      <c r="G7" s="10" t="s">
        <v>350</v>
      </c>
      <c r="I7" s="20">
        <f>+Revenues!D3</f>
        <v>80390.31</v>
      </c>
      <c r="J7" s="20">
        <f>+Revenues!E3</f>
        <v>69700</v>
      </c>
      <c r="K7" s="20">
        <f t="shared" si="2"/>
        <v>10690.309999999998</v>
      </c>
      <c r="L7" s="21">
        <f>+I7/J7</f>
        <v>1.1533760401721664</v>
      </c>
      <c r="M7" s="21"/>
      <c r="N7" s="20">
        <v>825000</v>
      </c>
      <c r="O7" s="20">
        <f t="shared" si="3"/>
        <v>-744609.69</v>
      </c>
      <c r="P7" s="21">
        <f t="shared" si="4"/>
        <v>9.7442799999999996E-2</v>
      </c>
    </row>
    <row r="8" spans="2:17" x14ac:dyDescent="0.2">
      <c r="B8" s="20">
        <f>+Revenues!C4</f>
        <v>16859.57</v>
      </c>
      <c r="C8" s="20">
        <f>+Revenues!E4</f>
        <v>13675</v>
      </c>
      <c r="D8" s="20">
        <f t="shared" si="0"/>
        <v>3184.5699999999997</v>
      </c>
      <c r="E8" s="21">
        <f t="shared" si="1"/>
        <v>1.2328753199268738</v>
      </c>
      <c r="G8" s="10" t="s">
        <v>11</v>
      </c>
      <c r="I8" s="20">
        <f>+Revenues!D4</f>
        <v>16859.57</v>
      </c>
      <c r="J8" s="20">
        <f>+Revenues!E4</f>
        <v>13675</v>
      </c>
      <c r="K8" s="20">
        <f t="shared" si="2"/>
        <v>3184.5699999999997</v>
      </c>
      <c r="L8" s="21">
        <v>0</v>
      </c>
      <c r="M8" s="21"/>
      <c r="N8" s="20">
        <v>475000</v>
      </c>
      <c r="O8" s="20">
        <f t="shared" si="3"/>
        <v>-458140.43</v>
      </c>
      <c r="P8" s="21">
        <f t="shared" si="4"/>
        <v>3.5493831578947366E-2</v>
      </c>
    </row>
    <row r="9" spans="2:17" x14ac:dyDescent="0.2">
      <c r="B9" s="20">
        <f>+Revenues!C7+Revenues!C8</f>
        <v>230740.7</v>
      </c>
      <c r="C9" s="20">
        <f>36750+185030</f>
        <v>221780</v>
      </c>
      <c r="D9" s="20">
        <f t="shared" si="0"/>
        <v>8960.7000000000116</v>
      </c>
      <c r="E9" s="21">
        <f t="shared" si="1"/>
        <v>1.0404035530706106</v>
      </c>
      <c r="G9" s="10" t="s">
        <v>351</v>
      </c>
      <c r="I9" s="20">
        <f>+Revenues!D7+Revenues!D8</f>
        <v>543966.69999999995</v>
      </c>
      <c r="J9" s="20">
        <f>+Revenues!E7+Revenues!E8</f>
        <v>515810</v>
      </c>
      <c r="K9" s="20">
        <f t="shared" si="2"/>
        <v>28156.699999999953</v>
      </c>
      <c r="L9" s="21">
        <f t="shared" ref="L9:L14" si="5">+I9/J9</f>
        <v>1.054587348054516</v>
      </c>
      <c r="M9" s="21"/>
      <c r="N9" s="20">
        <v>629826</v>
      </c>
      <c r="O9" s="20">
        <f t="shared" si="3"/>
        <v>-85859.300000000047</v>
      </c>
      <c r="P9" s="21">
        <f t="shared" si="4"/>
        <v>0.86367774591712621</v>
      </c>
    </row>
    <row r="10" spans="2:17" x14ac:dyDescent="0.2">
      <c r="B10" s="20">
        <f>SUM(Revenues!C9:C11)</f>
        <v>355244.3</v>
      </c>
      <c r="C10" s="20">
        <f>326400+10000+1516</f>
        <v>337916</v>
      </c>
      <c r="D10" s="20">
        <f t="shared" si="0"/>
        <v>17328.299999999988</v>
      </c>
      <c r="E10" s="21">
        <f t="shared" si="1"/>
        <v>1.051279903881438</v>
      </c>
      <c r="G10" s="10" t="s">
        <v>352</v>
      </c>
      <c r="I10" s="20">
        <f>SUM(Revenues!D9:D11)</f>
        <v>446594.3</v>
      </c>
      <c r="J10" s="20">
        <v>405116</v>
      </c>
      <c r="K10" s="20">
        <f t="shared" si="2"/>
        <v>41478.299999999988</v>
      </c>
      <c r="L10" s="21">
        <f t="shared" si="5"/>
        <v>1.1023862301168059</v>
      </c>
      <c r="M10" s="21"/>
      <c r="N10" s="20">
        <v>2087740</v>
      </c>
      <c r="O10" s="20">
        <f t="shared" si="3"/>
        <v>-1641145.7</v>
      </c>
      <c r="P10" s="21">
        <f t="shared" si="4"/>
        <v>0.21391279565463131</v>
      </c>
    </row>
    <row r="11" spans="2:17" x14ac:dyDescent="0.2">
      <c r="B11" s="20">
        <f>+Revenues!C12</f>
        <v>99833.75</v>
      </c>
      <c r="C11" s="20">
        <v>54825</v>
      </c>
      <c r="D11" s="20">
        <f t="shared" si="0"/>
        <v>45008.75</v>
      </c>
      <c r="E11" s="21">
        <f t="shared" si="1"/>
        <v>1.820953032375741</v>
      </c>
      <c r="G11" s="10" t="s">
        <v>27</v>
      </c>
      <c r="I11" s="20">
        <f>+Revenues!D12</f>
        <v>142368.12</v>
      </c>
      <c r="J11" s="20">
        <f>+Revenues!E12</f>
        <v>84825</v>
      </c>
      <c r="K11" s="20">
        <f t="shared" si="2"/>
        <v>57543.119999999995</v>
      </c>
      <c r="L11" s="21">
        <f t="shared" si="5"/>
        <v>1.6783745358090185</v>
      </c>
      <c r="M11" s="21"/>
      <c r="N11" s="20">
        <v>500000</v>
      </c>
      <c r="O11" s="20">
        <f t="shared" si="3"/>
        <v>-357631.88</v>
      </c>
      <c r="P11" s="21">
        <f t="shared" si="4"/>
        <v>0.28473623999999997</v>
      </c>
    </row>
    <row r="12" spans="2:17" x14ac:dyDescent="0.2">
      <c r="B12" s="20">
        <f>SUM(Revenues!C16:C20)</f>
        <v>35370.15</v>
      </c>
      <c r="C12" s="20">
        <f>28000+6675+2500+375</f>
        <v>37550</v>
      </c>
      <c r="D12" s="20">
        <f t="shared" si="0"/>
        <v>-2179.8499999999985</v>
      </c>
      <c r="E12" s="21">
        <f t="shared" si="1"/>
        <v>0.94194806924101204</v>
      </c>
      <c r="G12" s="10" t="s">
        <v>353</v>
      </c>
      <c r="I12" s="20">
        <v>51886</v>
      </c>
      <c r="J12" s="20">
        <v>51100</v>
      </c>
      <c r="K12" s="20">
        <f t="shared" si="2"/>
        <v>786</v>
      </c>
      <c r="L12" s="21">
        <f t="shared" si="5"/>
        <v>1.0153816046966733</v>
      </c>
      <c r="M12" s="21"/>
      <c r="N12" s="20">
        <v>514500</v>
      </c>
      <c r="O12" s="20">
        <f t="shared" si="3"/>
        <v>-462614</v>
      </c>
      <c r="P12" s="21">
        <f t="shared" si="4"/>
        <v>0.10084742468415937</v>
      </c>
    </row>
    <row r="13" spans="2:17" x14ac:dyDescent="0.2">
      <c r="B13" s="20">
        <f>+Revenues!C5+Revenues!C6+Revenues!C13+Revenues!C14+Revenues!C15+Revenues!C21+Revenues!C22+Revenues!C25+Revenues!C26+Revenues!C27+Revenues!C28+Revenues!C29</f>
        <v>61820.69</v>
      </c>
      <c r="C13" s="20">
        <f>12500+1650+5300+4700+125+25000+85+15000+205</f>
        <v>64565</v>
      </c>
      <c r="D13" s="20">
        <f t="shared" si="0"/>
        <v>-2744.3099999999977</v>
      </c>
      <c r="E13" s="21">
        <f t="shared" si="1"/>
        <v>0.95749539224037794</v>
      </c>
      <c r="G13" s="10" t="s">
        <v>354</v>
      </c>
      <c r="I13" s="20">
        <f>+Revenues!D5+Revenues!D6+Revenues!D13+Revenues!D14+Revenues!D15+Revenues!D21+Revenues!D22+Revenues!D25+Revenues!D26+Revenues!D27+Revenues!D28+Revenues!D29</f>
        <v>113642.61</v>
      </c>
      <c r="J13" s="20">
        <f>+Revenues!E5+Revenues!E6+Revenues!E13+Revenues!E14+Revenues!E15+Revenues!E21+Revenues!E22+Revenues!E25+Revenues!E26+Revenues!E27+Revenues!E28+Revenues!E29</f>
        <v>103980</v>
      </c>
      <c r="K13" s="20">
        <f t="shared" si="2"/>
        <v>9662.61</v>
      </c>
      <c r="L13" s="21">
        <f t="shared" si="5"/>
        <v>1.0929275822273514</v>
      </c>
      <c r="M13" s="21"/>
      <c r="N13" s="20">
        <f>6656566-5882066</f>
        <v>774500</v>
      </c>
      <c r="O13" s="20">
        <f t="shared" si="3"/>
        <v>-660857.39</v>
      </c>
      <c r="P13" s="21">
        <f t="shared" si="4"/>
        <v>0.14673029051000647</v>
      </c>
    </row>
    <row r="14" spans="2:17" x14ac:dyDescent="0.2">
      <c r="B14" s="22">
        <f>SUM(B6:B13)</f>
        <v>1234839.6399999999</v>
      </c>
      <c r="C14" s="22">
        <f>SUM(C6:C13)</f>
        <v>832011</v>
      </c>
      <c r="D14" s="22">
        <f>SUM(D6:D13)</f>
        <v>402828.64</v>
      </c>
      <c r="E14" s="21">
        <f t="shared" si="1"/>
        <v>1.4841626372728245</v>
      </c>
      <c r="F14" s="8"/>
      <c r="G14" s="23" t="s">
        <v>355</v>
      </c>
      <c r="H14" s="8"/>
      <c r="I14" s="22">
        <f>SUM(I6:I13)</f>
        <v>1796327.93</v>
      </c>
      <c r="J14" s="22">
        <f>SUM(J6:J13)</f>
        <v>1329206</v>
      </c>
      <c r="K14" s="22">
        <f>SUM(K6:K13)</f>
        <v>467121.92999999993</v>
      </c>
      <c r="L14" s="21">
        <f t="shared" si="5"/>
        <v>1.3514292968885184</v>
      </c>
      <c r="M14" s="21"/>
      <c r="N14" s="22">
        <f>SUM(N6:N13)</f>
        <v>6656566</v>
      </c>
      <c r="O14" s="22">
        <f>SUM(O6:O13)</f>
        <v>-4860238.0699999994</v>
      </c>
      <c r="P14" s="21">
        <f t="shared" si="4"/>
        <v>0.26985805143372721</v>
      </c>
      <c r="Q14" s="24"/>
    </row>
    <row r="15" spans="2:17" x14ac:dyDescent="0.2">
      <c r="E15" s="21"/>
      <c r="L15" s="25"/>
      <c r="M15" s="25"/>
      <c r="P15" s="25"/>
      <c r="Q15" s="24"/>
    </row>
    <row r="16" spans="2:17" x14ac:dyDescent="0.2">
      <c r="B16" s="20">
        <f>+B10*$F16</f>
        <v>46181.758999999998</v>
      </c>
      <c r="C16" s="20">
        <f>+C10*$F16</f>
        <v>43929.08</v>
      </c>
      <c r="D16" s="20">
        <f>B16-C16</f>
        <v>2252.6789999999964</v>
      </c>
      <c r="E16" s="21">
        <f>+B16/C16</f>
        <v>1.051279903881438</v>
      </c>
      <c r="F16" s="26">
        <v>0.13</v>
      </c>
      <c r="G16" s="10" t="s">
        <v>414</v>
      </c>
      <c r="I16" s="20">
        <f>+I10*$F16</f>
        <v>58057.258999999998</v>
      </c>
      <c r="J16" s="20">
        <f>+J10*$F16</f>
        <v>52665.08</v>
      </c>
      <c r="K16" s="20">
        <f>+I16-J16</f>
        <v>5392.1789999999964</v>
      </c>
      <c r="L16" s="21">
        <v>0</v>
      </c>
      <c r="N16" s="20">
        <f>+F16*N6</f>
        <v>110500</v>
      </c>
      <c r="O16" s="20">
        <f>I16-N16</f>
        <v>-52442.741000000002</v>
      </c>
      <c r="P16" s="21">
        <f>+I16/N16</f>
        <v>0.52540505882352939</v>
      </c>
      <c r="Q16" s="24"/>
    </row>
    <row r="17" spans="1:17" x14ac:dyDescent="0.2">
      <c r="B17" s="20">
        <f>+$F17*B11</f>
        <v>19966.75</v>
      </c>
      <c r="C17" s="20">
        <f>+$F17*C11</f>
        <v>10965</v>
      </c>
      <c r="D17" s="20">
        <f>B17-C17</f>
        <v>9001.75</v>
      </c>
      <c r="E17" s="21">
        <f>+B17/C17</f>
        <v>1.820953032375741</v>
      </c>
      <c r="F17" s="26">
        <v>0.2</v>
      </c>
      <c r="G17" s="10" t="s">
        <v>356</v>
      </c>
      <c r="I17" s="20">
        <f>+$F17*I11</f>
        <v>28473.624</v>
      </c>
      <c r="J17" s="20">
        <f>+$F17*J11</f>
        <v>16965</v>
      </c>
      <c r="K17" s="20">
        <f>+I17-J17</f>
        <v>11508.624</v>
      </c>
      <c r="L17" s="21">
        <f>+I17/J17</f>
        <v>1.6783745358090185</v>
      </c>
      <c r="N17" s="20">
        <f>+F17*N11</f>
        <v>100000</v>
      </c>
      <c r="O17" s="20">
        <f>I17-N17</f>
        <v>-71526.376000000004</v>
      </c>
      <c r="P17" s="21">
        <f>+I17/N17</f>
        <v>0.28473623999999997</v>
      </c>
      <c r="Q17" s="24"/>
    </row>
    <row r="18" spans="1:17" x14ac:dyDescent="0.2">
      <c r="B18" s="20">
        <f>+$F18*B8</f>
        <v>8429.7849999999999</v>
      </c>
      <c r="C18" s="20">
        <f>+$F18*C8</f>
        <v>6837.5</v>
      </c>
      <c r="D18" s="20">
        <f>B18-C18</f>
        <v>1592.2849999999999</v>
      </c>
      <c r="E18" s="21">
        <f>+B18/C18</f>
        <v>1.2328753199268738</v>
      </c>
      <c r="F18" s="26">
        <v>0.5</v>
      </c>
      <c r="G18" s="10" t="s">
        <v>357</v>
      </c>
      <c r="I18" s="20">
        <f>+$F18*I8</f>
        <v>8429.7849999999999</v>
      </c>
      <c r="J18" s="20">
        <f>+$F18*J8</f>
        <v>6837.5</v>
      </c>
      <c r="K18" s="20">
        <f>+I18-J18</f>
        <v>1592.2849999999999</v>
      </c>
      <c r="L18" s="21">
        <v>0</v>
      </c>
      <c r="N18" s="20">
        <f>+F18*N8</f>
        <v>237500</v>
      </c>
      <c r="O18" s="20">
        <f>I18-N18</f>
        <v>-229070.215</v>
      </c>
      <c r="P18" s="21">
        <f>+I18/N18</f>
        <v>3.5493831578947366E-2</v>
      </c>
      <c r="Q18" s="24"/>
    </row>
    <row r="19" spans="1:17" s="27" customFormat="1" ht="14.25" x14ac:dyDescent="0.2">
      <c r="A19" s="10"/>
      <c r="B19" s="22">
        <f>SUM(B16:B18)</f>
        <v>74578.293999999994</v>
      </c>
      <c r="C19" s="22">
        <f>SUM(C16:C18)</f>
        <v>61731.58</v>
      </c>
      <c r="D19" s="22">
        <f>SUM(D11:D18)</f>
        <v>455759.94400000002</v>
      </c>
      <c r="E19" s="21">
        <f>+B19/C19</f>
        <v>1.2081060293613088</v>
      </c>
      <c r="F19" s="10"/>
      <c r="G19" s="23" t="s">
        <v>358</v>
      </c>
      <c r="H19" s="10"/>
      <c r="I19" s="22">
        <f>SUM(I16:I18)</f>
        <v>94960.668000000005</v>
      </c>
      <c r="J19" s="22">
        <f>SUM(J16:J18)</f>
        <v>76467.58</v>
      </c>
      <c r="K19" s="22">
        <f>SUM(K16:K18)</f>
        <v>18493.087999999996</v>
      </c>
      <c r="L19" s="21">
        <f>+I19/J19</f>
        <v>1.2418422029309677</v>
      </c>
      <c r="N19" s="22">
        <f>SUM(N16:N18)</f>
        <v>448000</v>
      </c>
      <c r="O19" s="22">
        <f>SUM(O16:O18)</f>
        <v>-353039.33199999999</v>
      </c>
      <c r="P19" s="21">
        <f>+I19/N19</f>
        <v>0.21196577678571429</v>
      </c>
    </row>
    <row r="20" spans="1:17" s="27" customFormat="1" ht="14.25" x14ac:dyDescent="0.2">
      <c r="A20" s="10"/>
      <c r="B20" s="11"/>
      <c r="C20" s="11"/>
      <c r="D20" s="11"/>
      <c r="E20" s="21"/>
      <c r="F20" s="10"/>
      <c r="G20" s="8"/>
      <c r="H20" s="10"/>
      <c r="I20" s="11"/>
      <c r="J20" s="11"/>
      <c r="K20" s="11"/>
      <c r="L20" s="25"/>
      <c r="N20" s="11"/>
    </row>
    <row r="21" spans="1:17" s="27" customFormat="1" ht="14.25" x14ac:dyDescent="0.2">
      <c r="A21" s="10"/>
      <c r="B21" s="22">
        <f>+B14-B19</f>
        <v>1160261.3459999999</v>
      </c>
      <c r="C21" s="22">
        <f>+C14-C19</f>
        <v>770279.42</v>
      </c>
      <c r="D21" s="22">
        <f>+D14-D19</f>
        <v>-52931.304000000004</v>
      </c>
      <c r="E21" s="21">
        <f>+B21/C21</f>
        <v>1.5062863110116584</v>
      </c>
      <c r="F21" s="10"/>
      <c r="G21" s="23" t="s">
        <v>359</v>
      </c>
      <c r="H21" s="10"/>
      <c r="I21" s="22">
        <f>+I14-I19</f>
        <v>1701367.2619999999</v>
      </c>
      <c r="J21" s="22">
        <f>+J14-J19</f>
        <v>1252738.42</v>
      </c>
      <c r="K21" s="22">
        <f>+K14-K19</f>
        <v>448628.84199999995</v>
      </c>
      <c r="L21" s="21">
        <f>+I21/J21</f>
        <v>1.3581185304430912</v>
      </c>
      <c r="N21" s="22">
        <f>+N14-N19</f>
        <v>6208566</v>
      </c>
      <c r="O21" s="22">
        <f>+O14-O19</f>
        <v>-4507198.737999999</v>
      </c>
      <c r="P21" s="21">
        <f>+I21/N21</f>
        <v>0.27403546358370029</v>
      </c>
    </row>
    <row r="22" spans="1:17" s="27" customFormat="1" ht="14.25" x14ac:dyDescent="0.2">
      <c r="A22" s="10"/>
      <c r="B22" s="11"/>
      <c r="C22" s="11"/>
      <c r="D22" s="11"/>
      <c r="E22" s="21"/>
      <c r="F22" s="10"/>
      <c r="G22" s="10"/>
      <c r="H22" s="10"/>
      <c r="I22" s="11"/>
      <c r="J22" s="11"/>
      <c r="K22" s="11"/>
      <c r="L22" s="25"/>
    </row>
    <row r="23" spans="1:17" s="8" customFormat="1" ht="24" x14ac:dyDescent="0.2">
      <c r="B23" s="12">
        <f>+B4</f>
        <v>46173</v>
      </c>
      <c r="C23" s="28" t="s">
        <v>343</v>
      </c>
      <c r="D23" s="29" t="s">
        <v>344</v>
      </c>
      <c r="E23" s="30"/>
      <c r="G23" s="16" t="s">
        <v>360</v>
      </c>
      <c r="I23" s="12" t="str">
        <f>+I4</f>
        <v>Actual April - May 2026</v>
      </c>
      <c r="J23" s="12" t="str">
        <f>+J4</f>
        <v>Budgeted April - May 2026</v>
      </c>
      <c r="K23" s="14" t="s">
        <v>344</v>
      </c>
      <c r="L23" s="15" t="s">
        <v>345</v>
      </c>
      <c r="M23" s="19"/>
      <c r="N23" s="15" t="s">
        <v>348</v>
      </c>
      <c r="O23" s="14" t="s">
        <v>344</v>
      </c>
      <c r="P23" s="15" t="s">
        <v>349</v>
      </c>
      <c r="Q23" s="24"/>
    </row>
    <row r="24" spans="1:17" x14ac:dyDescent="0.2">
      <c r="C24" s="31"/>
      <c r="D24" s="20"/>
      <c r="E24" s="21"/>
      <c r="L24" s="25"/>
      <c r="M24" s="25"/>
      <c r="P24" s="25"/>
      <c r="Q24" s="24"/>
    </row>
    <row r="25" spans="1:17" x14ac:dyDescent="0.2">
      <c r="B25" s="20">
        <v>131686.64000000001</v>
      </c>
      <c r="C25" s="20">
        <v>51277</v>
      </c>
      <c r="D25" s="20">
        <f>+B25-C25</f>
        <v>80409.640000000014</v>
      </c>
      <c r="E25" s="21">
        <f t="shared" ref="E25:E26" si="6">+B25/C25</f>
        <v>2.5681424420305401</v>
      </c>
      <c r="G25" s="10" t="s">
        <v>361</v>
      </c>
      <c r="I25" s="20">
        <f>+Expenditures!D30-Expenditures!D12</f>
        <v>212383.58</v>
      </c>
      <c r="J25" s="20">
        <f>+Expenditures!E30-Expenditures!E12</f>
        <v>102186</v>
      </c>
      <c r="K25" s="20">
        <f>I25-J25</f>
        <v>110197.57999999999</v>
      </c>
      <c r="L25" s="21">
        <f>+I25/J25</f>
        <v>2.0784019337286908</v>
      </c>
      <c r="M25" s="21"/>
      <c r="N25" s="20">
        <v>421000</v>
      </c>
      <c r="O25" s="20">
        <f>I25-N25</f>
        <v>-208616.42</v>
      </c>
      <c r="P25" s="21">
        <f>+I25/N25</f>
        <v>0.50447406175771969</v>
      </c>
      <c r="Q25" s="24"/>
    </row>
    <row r="26" spans="1:17" x14ac:dyDescent="0.2">
      <c r="B26" s="20">
        <f>+Expenditures!C40-SUM(Expenditures!C37:C39)</f>
        <v>15336.919999999984</v>
      </c>
      <c r="C26" s="20">
        <v>8124</v>
      </c>
      <c r="D26" s="20">
        <f>+B26-C26</f>
        <v>7212.9199999999837</v>
      </c>
      <c r="E26" s="21">
        <f t="shared" si="6"/>
        <v>1.8878532742491363</v>
      </c>
      <c r="G26" s="10" t="s">
        <v>362</v>
      </c>
      <c r="I26" s="20">
        <f>+Expenditures!D40-SUM(Expenditures!D37:J39)</f>
        <v>22155.860000000044</v>
      </c>
      <c r="J26" s="20">
        <f>+Expenditures!E40-SUM(Expenditures!E37:K39)</f>
        <v>16249</v>
      </c>
      <c r="K26" s="20">
        <f>I26-J26</f>
        <v>5906.8600000000442</v>
      </c>
      <c r="L26" s="21">
        <f>+I26/J26</f>
        <v>1.3635214474736934</v>
      </c>
      <c r="M26" s="21"/>
      <c r="N26" s="20">
        <v>97500</v>
      </c>
      <c r="O26" s="20">
        <f>I26-N26</f>
        <v>-75344.139999999956</v>
      </c>
      <c r="P26" s="21">
        <f>+I26/N26</f>
        <v>0.22723958974359021</v>
      </c>
      <c r="Q26" s="24"/>
    </row>
    <row r="27" spans="1:17" s="8" customFormat="1" x14ac:dyDescent="0.2">
      <c r="B27" s="32">
        <f>SUM(B25:B26)</f>
        <v>147023.56</v>
      </c>
      <c r="C27" s="32">
        <f>SUM(C24:C26)</f>
        <v>59401</v>
      </c>
      <c r="D27" s="32">
        <f>+B27-C27</f>
        <v>87622.56</v>
      </c>
      <c r="E27" s="21">
        <f>+B27/C27</f>
        <v>2.4751024393528729</v>
      </c>
      <c r="G27" s="8" t="s">
        <v>363</v>
      </c>
      <c r="I27" s="32">
        <f>SUM(I25:I26)</f>
        <v>234539.44000000003</v>
      </c>
      <c r="J27" s="32">
        <f>SUM(J25:J26)</f>
        <v>118435</v>
      </c>
      <c r="K27" s="32">
        <f>SUM(K25:K26)</f>
        <v>116104.44000000003</v>
      </c>
      <c r="L27" s="21">
        <f>+I27/J27</f>
        <v>1.9803220331827587</v>
      </c>
      <c r="M27" s="21"/>
      <c r="N27" s="32">
        <f>SUM(N25:N26)</f>
        <v>518500</v>
      </c>
      <c r="O27" s="32">
        <f>SUM(O25:O26)</f>
        <v>-283960.55999999994</v>
      </c>
      <c r="P27" s="21">
        <f>+I27/N27</f>
        <v>0.45234221793635493</v>
      </c>
      <c r="Q27" s="24"/>
    </row>
    <row r="28" spans="1:17" x14ac:dyDescent="0.2">
      <c r="B28" s="11"/>
      <c r="C28" s="11"/>
      <c r="E28" s="21"/>
      <c r="I28" s="11"/>
      <c r="J28" s="11"/>
      <c r="L28" s="25"/>
      <c r="M28" s="25"/>
      <c r="N28" s="11"/>
      <c r="P28" s="25"/>
      <c r="Q28" s="24"/>
    </row>
    <row r="29" spans="1:17" x14ac:dyDescent="0.2">
      <c r="B29" s="20">
        <f>+Expenditures!C50</f>
        <v>69677.55</v>
      </c>
      <c r="C29" s="20">
        <v>42650</v>
      </c>
      <c r="D29" s="20">
        <f>B29-C29</f>
        <v>27027.550000000003</v>
      </c>
      <c r="E29" s="21">
        <f t="shared" ref="E29:E31" si="7">+B29/C29</f>
        <v>1.6337057444314187</v>
      </c>
      <c r="G29" s="10" t="s">
        <v>207</v>
      </c>
      <c r="I29" s="20">
        <f>+Expenditures!D50</f>
        <v>110893.28</v>
      </c>
      <c r="J29" s="20">
        <f>+Expenditures!E50</f>
        <v>85301</v>
      </c>
      <c r="K29" s="20">
        <f>I29-J29</f>
        <v>25592.28</v>
      </c>
      <c r="L29" s="21">
        <f>+I29/J29</f>
        <v>1.3000232119201416</v>
      </c>
      <c r="M29" s="21"/>
      <c r="N29" s="20">
        <v>546832</v>
      </c>
      <c r="O29" s="20">
        <f>I29-N29</f>
        <v>-435938.72</v>
      </c>
      <c r="P29" s="21">
        <f>+I29/N29</f>
        <v>0.20279222869181027</v>
      </c>
      <c r="Q29" s="24"/>
    </row>
    <row r="30" spans="1:17" x14ac:dyDescent="0.2">
      <c r="B30" s="20">
        <f>+Expenditures!C55</f>
        <v>0.45</v>
      </c>
      <c r="C30" s="20">
        <v>546</v>
      </c>
      <c r="D30" s="20">
        <f>B30-C30</f>
        <v>-545.54999999999995</v>
      </c>
      <c r="E30" s="21">
        <f t="shared" si="7"/>
        <v>8.2417582417582418E-4</v>
      </c>
      <c r="G30" s="10" t="s">
        <v>364</v>
      </c>
      <c r="I30" s="20">
        <f>+Expenditures!D55</f>
        <v>0.9</v>
      </c>
      <c r="J30" s="20">
        <f>+Expenditures!E55</f>
        <v>547</v>
      </c>
      <c r="K30" s="20">
        <f>I30-J30</f>
        <v>-546.1</v>
      </c>
      <c r="L30" s="21">
        <f>+I30/J30</f>
        <v>1.6453382084095065E-3</v>
      </c>
      <c r="M30" s="21"/>
      <c r="N30" s="20">
        <v>5465</v>
      </c>
      <c r="O30" s="20">
        <f>I30-N30</f>
        <v>-5464.1</v>
      </c>
      <c r="P30" s="21">
        <f>+I30/N30</f>
        <v>1.6468435498627631E-4</v>
      </c>
      <c r="Q30" s="24"/>
    </row>
    <row r="31" spans="1:17" x14ac:dyDescent="0.2">
      <c r="B31" s="20">
        <f>+Expenditures!C63-Expenditures!C62</f>
        <v>8615.7700000000186</v>
      </c>
      <c r="C31" s="20">
        <v>6876</v>
      </c>
      <c r="D31" s="20">
        <f>B31-C31</f>
        <v>1739.7700000000186</v>
      </c>
      <c r="E31" s="21">
        <f t="shared" si="7"/>
        <v>1.2530206515415967</v>
      </c>
      <c r="G31" s="10" t="s">
        <v>365</v>
      </c>
      <c r="I31" s="20">
        <f>+Expenditures!D63-Expenditures!D62</f>
        <v>15094.860000000102</v>
      </c>
      <c r="J31" s="20">
        <f>+Expenditures!E63-Expenditures!E62</f>
        <v>13747</v>
      </c>
      <c r="K31" s="20">
        <f>I31-J31</f>
        <v>1347.8600000001024</v>
      </c>
      <c r="L31" s="21">
        <f>+I31/J31</f>
        <v>1.0980475740161564</v>
      </c>
      <c r="M31" s="21"/>
      <c r="N31" s="20">
        <v>430500</v>
      </c>
      <c r="O31" s="20">
        <f>I31-N31</f>
        <v>-415405.1399999999</v>
      </c>
      <c r="P31" s="21">
        <f>+I31/N31</f>
        <v>3.5063554006968881E-2</v>
      </c>
      <c r="Q31" s="24"/>
    </row>
    <row r="32" spans="1:17" s="8" customFormat="1" x14ac:dyDescent="0.2">
      <c r="B32" s="32">
        <f>SUM(B29:B31)</f>
        <v>78293.770000000019</v>
      </c>
      <c r="C32" s="32">
        <f>SUM(C29:C31)</f>
        <v>50072</v>
      </c>
      <c r="D32" s="32">
        <f>+B32-C32</f>
        <v>28221.770000000019</v>
      </c>
      <c r="E32" s="21">
        <f>+B32/C32</f>
        <v>1.5636237817542742</v>
      </c>
      <c r="G32" s="8" t="s">
        <v>366</v>
      </c>
      <c r="I32" s="32">
        <f>SUM(I29:I31)</f>
        <v>125989.0400000001</v>
      </c>
      <c r="J32" s="32">
        <f>SUM(J29:J31)</f>
        <v>99595</v>
      </c>
      <c r="K32" s="32">
        <f>SUM(K29:K31)</f>
        <v>26394.040000000103</v>
      </c>
      <c r="L32" s="21">
        <f>+I32/J32</f>
        <v>1.2650137055073056</v>
      </c>
      <c r="M32" s="21"/>
      <c r="N32" s="32">
        <f>SUM(N29:N31)</f>
        <v>982797</v>
      </c>
      <c r="O32" s="32">
        <f>SUM(O29:O31)</f>
        <v>-856807.95999999985</v>
      </c>
      <c r="P32" s="21">
        <f>+I32/N32</f>
        <v>0.12819436770767523</v>
      </c>
      <c r="Q32" s="24"/>
    </row>
    <row r="33" spans="1:23" x14ac:dyDescent="0.2">
      <c r="B33" s="11"/>
      <c r="C33" s="11"/>
      <c r="E33" s="21"/>
      <c r="I33" s="11"/>
      <c r="J33" s="11"/>
      <c r="L33" s="25"/>
      <c r="M33" s="25"/>
      <c r="N33" s="11"/>
      <c r="P33" s="25"/>
      <c r="Q33" s="24"/>
    </row>
    <row r="34" spans="1:23" x14ac:dyDescent="0.2">
      <c r="A34" s="10" t="s">
        <v>74</v>
      </c>
      <c r="B34" s="20">
        <f>+Expenditures!C76</f>
        <v>268245.12999999995</v>
      </c>
      <c r="C34" s="20">
        <v>182560</v>
      </c>
      <c r="D34" s="20">
        <f>B34-C34</f>
        <v>85685.129999999946</v>
      </c>
      <c r="E34" s="21">
        <f t="shared" ref="E34:E37" si="8">+B34/C34</f>
        <v>1.4693532537248024</v>
      </c>
      <c r="G34" s="10" t="s">
        <v>367</v>
      </c>
      <c r="I34" s="20">
        <f>+Expenditures!D76</f>
        <v>437009.41000000003</v>
      </c>
      <c r="J34" s="20">
        <f>+Expenditures!E76</f>
        <v>339608</v>
      </c>
      <c r="K34" s="20">
        <f>I34-J34</f>
        <v>97401.410000000033</v>
      </c>
      <c r="L34" s="21">
        <f>+I34/J34</f>
        <v>1.2868054050552402</v>
      </c>
      <c r="M34" s="21"/>
      <c r="N34" s="20">
        <v>2198569</v>
      </c>
      <c r="O34" s="20">
        <f>I34-N34</f>
        <v>-1761559.5899999999</v>
      </c>
      <c r="P34" s="21">
        <f>+I34/N34</f>
        <v>0.19876993171467441</v>
      </c>
      <c r="Q34" s="24"/>
    </row>
    <row r="35" spans="1:23" x14ac:dyDescent="0.2">
      <c r="B35" s="20">
        <f>+Expenditures!C85</f>
        <v>77203.320000000007</v>
      </c>
      <c r="C35" s="20">
        <v>43809</v>
      </c>
      <c r="D35" s="20">
        <f>B35-C35</f>
        <v>33394.320000000007</v>
      </c>
      <c r="E35" s="21">
        <f t="shared" si="8"/>
        <v>1.7622707662809014</v>
      </c>
      <c r="G35" s="10" t="s">
        <v>368</v>
      </c>
      <c r="I35" s="20">
        <f>+Expenditures!D85</f>
        <v>118862.54999999999</v>
      </c>
      <c r="J35" s="20">
        <f>+Expenditures!E85</f>
        <v>87619</v>
      </c>
      <c r="K35" s="20">
        <f>I35-J35</f>
        <v>31243.549999999988</v>
      </c>
      <c r="L35" s="21">
        <f>+I35/J35</f>
        <v>1.3565841883609717</v>
      </c>
      <c r="M35" s="21"/>
      <c r="N35" s="20">
        <v>555977</v>
      </c>
      <c r="O35" s="20">
        <f>I35-N35</f>
        <v>-437114.45</v>
      </c>
      <c r="P35" s="21">
        <f>+I35/N35</f>
        <v>0.21379040859603901</v>
      </c>
      <c r="Q35" s="24"/>
    </row>
    <row r="36" spans="1:23" x14ac:dyDescent="0.2">
      <c r="B36" s="20">
        <f>+Expenditures!C93</f>
        <v>47681.189999999995</v>
      </c>
      <c r="C36" s="20">
        <v>26432</v>
      </c>
      <c r="D36" s="20">
        <f>B36-C36</f>
        <v>21249.189999999995</v>
      </c>
      <c r="E36" s="21">
        <f t="shared" si="8"/>
        <v>1.8039191131961256</v>
      </c>
      <c r="G36" s="10" t="s">
        <v>369</v>
      </c>
      <c r="I36" s="20">
        <f>+Expenditures!D93</f>
        <v>60637.54</v>
      </c>
      <c r="J36" s="20">
        <f>+Expenditures!E93</f>
        <v>54425</v>
      </c>
      <c r="K36" s="20">
        <f>I36-J36</f>
        <v>6212.5400000000009</v>
      </c>
      <c r="L36" s="21">
        <f>+I36/J36</f>
        <v>1.1141486449242077</v>
      </c>
      <c r="M36" s="21"/>
      <c r="N36" s="20">
        <v>209665</v>
      </c>
      <c r="O36" s="20">
        <f>I36-N36</f>
        <v>-149027.46</v>
      </c>
      <c r="P36" s="21">
        <f>+I36/N36</f>
        <v>0.28921155176114277</v>
      </c>
      <c r="Q36" s="24"/>
    </row>
    <row r="37" spans="1:23" x14ac:dyDescent="0.2">
      <c r="B37" s="20">
        <f>+Expenditures!C110-Expenditures!C109</f>
        <v>49161.609999999993</v>
      </c>
      <c r="C37" s="20">
        <v>39418</v>
      </c>
      <c r="D37" s="20">
        <f>B37-C37</f>
        <v>9743.6099999999933</v>
      </c>
      <c r="E37" s="21">
        <f t="shared" si="8"/>
        <v>1.2471868182048809</v>
      </c>
      <c r="G37" s="10" t="s">
        <v>370</v>
      </c>
      <c r="I37" s="20">
        <f>+Expenditures!D110-Expenditures!D109</f>
        <v>85172.73000000001</v>
      </c>
      <c r="J37" s="20">
        <f>+Expenditures!E110-Expenditures!E109</f>
        <v>65836</v>
      </c>
      <c r="K37" s="20">
        <f>I37-J37</f>
        <v>19336.73000000001</v>
      </c>
      <c r="L37" s="21">
        <f>+I37/J37</f>
        <v>1.2937105838750838</v>
      </c>
      <c r="M37" s="21"/>
      <c r="N37" s="20">
        <v>389500</v>
      </c>
      <c r="O37" s="20">
        <f>I37-N37</f>
        <v>-304327.27</v>
      </c>
      <c r="P37" s="21">
        <f>+I37/N37</f>
        <v>0.2186719640564827</v>
      </c>
      <c r="Q37" s="24"/>
    </row>
    <row r="38" spans="1:23" s="8" customFormat="1" x14ac:dyDescent="0.2">
      <c r="B38" s="32">
        <f>SUM(B34:B37)</f>
        <v>442291.24999999994</v>
      </c>
      <c r="C38" s="32">
        <f>SUM(C34:C37)</f>
        <v>292219</v>
      </c>
      <c r="D38" s="32">
        <f>+B38-C38</f>
        <v>150072.24999999994</v>
      </c>
      <c r="E38" s="21">
        <f>+B38/C38</f>
        <v>1.5135608909756038</v>
      </c>
      <c r="G38" s="8" t="s">
        <v>371</v>
      </c>
      <c r="I38" s="32">
        <f>SUM(I34:I37)</f>
        <v>701682.23</v>
      </c>
      <c r="J38" s="32">
        <f>SUM(J34:J37)</f>
        <v>547488</v>
      </c>
      <c r="K38" s="32">
        <f>SUM(K34:K37)</f>
        <v>154194.23000000004</v>
      </c>
      <c r="L38" s="21">
        <f>+I38/J38</f>
        <v>1.2816394697235374</v>
      </c>
      <c r="M38" s="21"/>
      <c r="N38" s="32">
        <f>SUM(N34:N37)</f>
        <v>3353711</v>
      </c>
      <c r="O38" s="32">
        <f>SUM(O34:O37)</f>
        <v>-2652028.77</v>
      </c>
      <c r="P38" s="21">
        <f>+I38/N38</f>
        <v>0.20922561007791071</v>
      </c>
      <c r="Q38" s="24"/>
    </row>
    <row r="39" spans="1:23" x14ac:dyDescent="0.2">
      <c r="B39" s="11"/>
      <c r="C39" s="11"/>
      <c r="E39" s="21"/>
      <c r="I39" s="11"/>
      <c r="J39" s="11"/>
      <c r="L39" s="25"/>
      <c r="M39" s="25"/>
      <c r="N39" s="11"/>
      <c r="P39" s="25"/>
      <c r="Q39" s="24"/>
    </row>
    <row r="40" spans="1:23" x14ac:dyDescent="0.2">
      <c r="B40" s="20">
        <f>+Expenditures!C120</f>
        <v>27483.620000000006</v>
      </c>
      <c r="C40" s="20">
        <v>16693</v>
      </c>
      <c r="D40" s="20">
        <f>B40-C40</f>
        <v>10790.620000000006</v>
      </c>
      <c r="E40" s="21">
        <f t="shared" ref="E40:E42" si="9">+B40/C40</f>
        <v>1.6464158629365606</v>
      </c>
      <c r="G40" s="10" t="s">
        <v>372</v>
      </c>
      <c r="I40" s="20">
        <f>+Expenditures!D120</f>
        <v>44111.24</v>
      </c>
      <c r="J40" s="20">
        <f>+Expenditures!E120</f>
        <v>33386</v>
      </c>
      <c r="K40" s="20">
        <f>I40-J40</f>
        <v>10725.239999999998</v>
      </c>
      <c r="L40" s="21">
        <f>+I40/J40</f>
        <v>1.3212496255915653</v>
      </c>
      <c r="M40" s="21"/>
      <c r="N40" s="20">
        <v>210037</v>
      </c>
      <c r="O40" s="20">
        <f>I40-N40</f>
        <v>-165925.76000000001</v>
      </c>
      <c r="P40" s="21">
        <f>+I40/N40</f>
        <v>0.21001652089869879</v>
      </c>
      <c r="Q40" s="33"/>
      <c r="S40" s="33"/>
      <c r="U40" s="33"/>
      <c r="W40" s="33"/>
    </row>
    <row r="41" spans="1:23" x14ac:dyDescent="0.2">
      <c r="B41" s="20">
        <f>+Expenditures!C126</f>
        <v>3884.19</v>
      </c>
      <c r="C41" s="20">
        <v>2205</v>
      </c>
      <c r="D41" s="20">
        <f>B41-C41</f>
        <v>1679.19</v>
      </c>
      <c r="E41" s="21">
        <f t="shared" si="9"/>
        <v>1.7615374149659864</v>
      </c>
      <c r="G41" s="10" t="s">
        <v>373</v>
      </c>
      <c r="I41" s="20">
        <f>+Expenditures!D126</f>
        <v>6014.21</v>
      </c>
      <c r="J41" s="20">
        <f>+Expenditures!E126</f>
        <v>3320</v>
      </c>
      <c r="K41" s="20">
        <f>I41-J41</f>
        <v>2694.21</v>
      </c>
      <c r="L41" s="21">
        <f>+I41/J41</f>
        <v>1.8115090361445783</v>
      </c>
      <c r="M41" s="21"/>
      <c r="N41" s="20">
        <v>11200</v>
      </c>
      <c r="O41" s="20">
        <f>I41-N41</f>
        <v>-5185.79</v>
      </c>
      <c r="P41" s="21">
        <f>+I41/N41</f>
        <v>0.53698303571428574</v>
      </c>
    </row>
    <row r="42" spans="1:23" x14ac:dyDescent="0.2">
      <c r="B42" s="20">
        <f>+Expenditures!C130+Expenditures!C136</f>
        <v>4302.74</v>
      </c>
      <c r="C42" s="20">
        <v>886.5</v>
      </c>
      <c r="D42" s="20">
        <f>B42-C42</f>
        <v>3416.24</v>
      </c>
      <c r="E42" s="21">
        <f t="shared" si="9"/>
        <v>4.8536266215454029</v>
      </c>
      <c r="G42" s="10" t="s">
        <v>374</v>
      </c>
      <c r="I42" s="20">
        <f>+Expenditures!D130+Expenditures!D136</f>
        <v>4630.9500000000007</v>
      </c>
      <c r="J42" s="20">
        <f>+Expenditures!E130+Expenditures!E136</f>
        <v>1773</v>
      </c>
      <c r="K42" s="20">
        <f>I42-J42</f>
        <v>2857.9500000000007</v>
      </c>
      <c r="L42" s="21">
        <f>+I42/J42</f>
        <v>2.6119289340101526</v>
      </c>
      <c r="M42" s="21"/>
      <c r="N42" s="20">
        <v>10650</v>
      </c>
      <c r="O42" s="20">
        <f>I42-N42</f>
        <v>-6019.0499999999993</v>
      </c>
      <c r="P42" s="21">
        <f>+I42/N42</f>
        <v>0.43483098591549302</v>
      </c>
    </row>
    <row r="43" spans="1:23" s="8" customFormat="1" x14ac:dyDescent="0.2">
      <c r="B43" s="32">
        <f>SUM(B40:B42)</f>
        <v>35670.550000000003</v>
      </c>
      <c r="C43" s="32">
        <f>SUM(C40:C42)</f>
        <v>19784.5</v>
      </c>
      <c r="D43" s="32">
        <f>SUM(D40:D42)</f>
        <v>15886.050000000007</v>
      </c>
      <c r="E43" s="21">
        <f>+B43/C43</f>
        <v>1.8029543329374007</v>
      </c>
      <c r="G43" s="8" t="s">
        <v>375</v>
      </c>
      <c r="I43" s="32">
        <f>SUM(I40:I42)</f>
        <v>54756.399999999994</v>
      </c>
      <c r="J43" s="32">
        <f>SUM(J40:J42)</f>
        <v>38479</v>
      </c>
      <c r="K43" s="32">
        <f>SUM(K40:K42)</f>
        <v>16277.399999999998</v>
      </c>
      <c r="L43" s="21">
        <f>+I43/J43</f>
        <v>1.4230203487616619</v>
      </c>
      <c r="M43" s="21"/>
      <c r="N43" s="32">
        <f>SUM(N40:N42)</f>
        <v>231887</v>
      </c>
      <c r="O43" s="32">
        <f>SUM(O40:O42)</f>
        <v>-177130.6</v>
      </c>
      <c r="P43" s="21">
        <f>+I43/N43</f>
        <v>0.23613397905014077</v>
      </c>
      <c r="Q43" s="24"/>
    </row>
    <row r="44" spans="1:23" x14ac:dyDescent="0.2">
      <c r="B44" s="11"/>
      <c r="C44" s="11"/>
      <c r="E44" s="21"/>
      <c r="I44" s="11"/>
      <c r="J44" s="11"/>
      <c r="L44" s="25"/>
      <c r="M44" s="25"/>
      <c r="N44" s="11"/>
      <c r="P44" s="25"/>
      <c r="Q44" s="24"/>
    </row>
    <row r="45" spans="1:23" x14ac:dyDescent="0.2">
      <c r="B45" s="20">
        <f>+Expenditures!C145</f>
        <v>16907.149999999998</v>
      </c>
      <c r="C45" s="20">
        <v>10657</v>
      </c>
      <c r="D45" s="20">
        <f>B45-C45</f>
        <v>6250.1499999999978</v>
      </c>
      <c r="E45" s="21">
        <f t="shared" ref="E45:E47" si="10">+B45/C45</f>
        <v>1.5864830627756403</v>
      </c>
      <c r="G45" s="10" t="s">
        <v>376</v>
      </c>
      <c r="I45" s="20">
        <f>+Expenditures!D145</f>
        <v>27783.16</v>
      </c>
      <c r="J45" s="20">
        <f>+Expenditures!E145</f>
        <v>21314</v>
      </c>
      <c r="K45" s="20">
        <f>I45-J45</f>
        <v>6469.16</v>
      </c>
      <c r="L45" s="21">
        <f>+I45/J45</f>
        <v>1.3035169372243596</v>
      </c>
      <c r="M45" s="21"/>
      <c r="N45" s="20">
        <v>132015</v>
      </c>
      <c r="O45" s="20">
        <f>I45-N45</f>
        <v>-104231.84</v>
      </c>
      <c r="P45" s="21">
        <f>+I45/N45</f>
        <v>0.21045456955648978</v>
      </c>
      <c r="Q45" s="24"/>
    </row>
    <row r="46" spans="1:23" x14ac:dyDescent="0.2">
      <c r="B46" s="20">
        <f>+Expenditures!C152</f>
        <v>3967.73</v>
      </c>
      <c r="C46" s="20">
        <v>21880</v>
      </c>
      <c r="D46" s="20">
        <f>B46-C46</f>
        <v>-17912.27</v>
      </c>
      <c r="E46" s="21">
        <f t="shared" si="10"/>
        <v>0.18134049360146251</v>
      </c>
      <c r="G46" s="10" t="s">
        <v>377</v>
      </c>
      <c r="I46" s="20">
        <f>+Expenditures!D152</f>
        <v>4438.87</v>
      </c>
      <c r="J46" s="20">
        <f>+Expenditures!E152</f>
        <v>23922</v>
      </c>
      <c r="K46" s="20">
        <f>I46-J46</f>
        <v>-19483.13</v>
      </c>
      <c r="L46" s="21">
        <f>+I46/J46</f>
        <v>0.18555597358080428</v>
      </c>
      <c r="M46" s="21"/>
      <c r="N46" s="20">
        <v>123525</v>
      </c>
      <c r="O46" s="20">
        <f>I46-N46</f>
        <v>-119086.13</v>
      </c>
      <c r="P46" s="21">
        <f>+I46/N46</f>
        <v>3.593499291641368E-2</v>
      </c>
      <c r="Q46" s="24"/>
    </row>
    <row r="47" spans="1:23" x14ac:dyDescent="0.2">
      <c r="B47" s="20">
        <f>+Expenditures!C158</f>
        <v>0</v>
      </c>
      <c r="C47" s="20">
        <v>125</v>
      </c>
      <c r="D47" s="20">
        <f>B47-C47</f>
        <v>-125</v>
      </c>
      <c r="E47" s="21">
        <f t="shared" si="10"/>
        <v>0</v>
      </c>
      <c r="G47" s="10" t="s">
        <v>378</v>
      </c>
      <c r="I47" s="20">
        <f>+Expenditures!D158</f>
        <v>0</v>
      </c>
      <c r="J47" s="20">
        <f>+Expenditures!E158</f>
        <v>250</v>
      </c>
      <c r="K47" s="20">
        <f>I47-J47</f>
        <v>-250</v>
      </c>
      <c r="L47" s="21">
        <f>+I47/J47</f>
        <v>0</v>
      </c>
      <c r="M47" s="21"/>
      <c r="N47" s="20">
        <v>4000</v>
      </c>
      <c r="O47" s="20">
        <f>I47-N47</f>
        <v>-4000</v>
      </c>
      <c r="P47" s="21">
        <f>+I47/N47</f>
        <v>0</v>
      </c>
      <c r="Q47" s="24"/>
    </row>
    <row r="48" spans="1:23" s="8" customFormat="1" x14ac:dyDescent="0.2">
      <c r="B48" s="32">
        <f>SUM(B45:B47)</f>
        <v>20874.879999999997</v>
      </c>
      <c r="C48" s="32">
        <f>SUM(C45:C47)</f>
        <v>32662</v>
      </c>
      <c r="D48" s="32">
        <f>+B48-C48</f>
        <v>-11787.120000000003</v>
      </c>
      <c r="E48" s="21">
        <f>+B48/C48</f>
        <v>0.6391182413814217</v>
      </c>
      <c r="G48" s="8" t="s">
        <v>379</v>
      </c>
      <c r="I48" s="32">
        <f>SUM(I45:I47)</f>
        <v>32222.03</v>
      </c>
      <c r="J48" s="32">
        <f>SUM(J45:J47)</f>
        <v>45486</v>
      </c>
      <c r="K48" s="32">
        <f>SUM(K45:K47)</f>
        <v>-13263.970000000001</v>
      </c>
      <c r="L48" s="21">
        <f>+I48/J48</f>
        <v>0.70839445103988041</v>
      </c>
      <c r="M48" s="21"/>
      <c r="N48" s="32">
        <f>SUM(N45:N47)</f>
        <v>259540</v>
      </c>
      <c r="O48" s="32">
        <f>SUM(O45:O47)</f>
        <v>-227317.97</v>
      </c>
      <c r="P48" s="21">
        <f>+I48/N48</f>
        <v>0.12415053556291901</v>
      </c>
      <c r="Q48" s="24"/>
    </row>
    <row r="49" spans="1:17" x14ac:dyDescent="0.2">
      <c r="B49" s="11"/>
      <c r="C49" s="11"/>
      <c r="E49" s="21"/>
      <c r="I49" s="11"/>
      <c r="J49" s="11"/>
      <c r="L49" s="25"/>
      <c r="M49" s="25"/>
      <c r="N49" s="11"/>
      <c r="P49" s="25"/>
      <c r="Q49" s="24"/>
    </row>
    <row r="50" spans="1:17" s="8" customFormat="1" x14ac:dyDescent="0.2">
      <c r="B50" s="32">
        <f>+Expenditures!C167+Expenditures!C171</f>
        <v>6865.82</v>
      </c>
      <c r="C50" s="32">
        <v>13790</v>
      </c>
      <c r="D50" s="32">
        <f>+B50-C50</f>
        <v>-6924.18</v>
      </c>
      <c r="E50" s="21">
        <f>+B50/C50</f>
        <v>0.49788397389412614</v>
      </c>
      <c r="G50" s="8" t="s">
        <v>380</v>
      </c>
      <c r="I50" s="32">
        <f>+Expenditures!D167+Expenditures!D171</f>
        <v>10127.44</v>
      </c>
      <c r="J50" s="32">
        <f>+Expenditures!E167+Expenditures!E171</f>
        <v>27578</v>
      </c>
      <c r="K50" s="32">
        <f>I50-J50</f>
        <v>-17450.559999999998</v>
      </c>
      <c r="L50" s="21">
        <f>+I50/J50</f>
        <v>0.3672289506128073</v>
      </c>
      <c r="M50" s="21"/>
      <c r="N50" s="32">
        <v>175289</v>
      </c>
      <c r="O50" s="32">
        <f>I50-N50</f>
        <v>-165161.56</v>
      </c>
      <c r="P50" s="21">
        <f>+I50/N50</f>
        <v>5.7775673316637098E-2</v>
      </c>
      <c r="Q50" s="24"/>
    </row>
    <row r="51" spans="1:17" x14ac:dyDescent="0.2">
      <c r="B51" s="11"/>
      <c r="C51" s="11"/>
      <c r="E51" s="21"/>
      <c r="I51" s="11"/>
      <c r="J51" s="11"/>
      <c r="L51" s="25"/>
      <c r="M51" s="25"/>
      <c r="N51" s="11"/>
      <c r="P51" s="25"/>
      <c r="Q51" s="24"/>
    </row>
    <row r="52" spans="1:17" s="8" customFormat="1" x14ac:dyDescent="0.2">
      <c r="B52" s="32">
        <f>+Expenditures!C177</f>
        <v>5225.54</v>
      </c>
      <c r="C52" s="32">
        <v>2511</v>
      </c>
      <c r="D52" s="32">
        <f>+B52-C52</f>
        <v>2714.54</v>
      </c>
      <c r="E52" s="21">
        <f>+B52/C52</f>
        <v>2.0810593389088012</v>
      </c>
      <c r="G52" s="8" t="s">
        <v>381</v>
      </c>
      <c r="I52" s="32">
        <f>+Expenditures!D177</f>
        <v>8262.7199999999993</v>
      </c>
      <c r="J52" s="32">
        <f>+Expenditures!E177</f>
        <v>5024</v>
      </c>
      <c r="K52" s="32">
        <f>I52-J52</f>
        <v>3238.7199999999993</v>
      </c>
      <c r="L52" s="21">
        <f>+I52/J52</f>
        <v>1.6446496815286622</v>
      </c>
      <c r="M52" s="21"/>
      <c r="N52" s="32">
        <v>32710</v>
      </c>
      <c r="O52" s="32">
        <f>I52-N52</f>
        <v>-24447.279999999999</v>
      </c>
      <c r="P52" s="21">
        <f>+I52/N52</f>
        <v>0.25260531947416692</v>
      </c>
      <c r="Q52" s="24"/>
    </row>
    <row r="53" spans="1:17" x14ac:dyDescent="0.2">
      <c r="B53" s="11"/>
      <c r="C53" s="11"/>
      <c r="E53" s="21"/>
      <c r="I53" s="11"/>
      <c r="J53" s="11"/>
      <c r="L53" s="25"/>
      <c r="M53" s="25"/>
      <c r="N53" s="11"/>
      <c r="P53" s="25"/>
      <c r="Q53" s="24"/>
    </row>
    <row r="54" spans="1:17" x14ac:dyDescent="0.2">
      <c r="B54" s="20">
        <f>SUM(Expenditures!C180:C183)</f>
        <v>3594.8300000000004</v>
      </c>
      <c r="C54" s="20">
        <v>2399.75</v>
      </c>
      <c r="D54" s="20">
        <f>B54-C54</f>
        <v>1195.0800000000004</v>
      </c>
      <c r="E54" s="21">
        <f t="shared" ref="E54:E56" si="11">+B54/C54</f>
        <v>1.498001875195333</v>
      </c>
      <c r="G54" s="10" t="s">
        <v>382</v>
      </c>
      <c r="I54" s="20">
        <v>5960.67</v>
      </c>
      <c r="J54" s="20">
        <v>4799.5</v>
      </c>
      <c r="K54" s="20">
        <f>I54-J54</f>
        <v>1161.17</v>
      </c>
      <c r="L54" s="21">
        <f>+I54/J54</f>
        <v>1.2419356182935724</v>
      </c>
      <c r="M54" s="21"/>
      <c r="N54" s="20">
        <v>31032</v>
      </c>
      <c r="O54" s="20">
        <f>I54-N54</f>
        <v>-25071.33</v>
      </c>
      <c r="P54" s="21">
        <f>+I54/N54</f>
        <v>0.19208139984532097</v>
      </c>
      <c r="Q54" s="24"/>
    </row>
    <row r="55" spans="1:17" x14ac:dyDescent="0.2">
      <c r="B55" s="20">
        <f>+SUM(Expenditures!C184:C188)</f>
        <v>13204.9</v>
      </c>
      <c r="C55" s="20">
        <v>72841</v>
      </c>
      <c r="D55" s="20">
        <f>B55-C55</f>
        <v>-59636.1</v>
      </c>
      <c r="E55" s="21">
        <f t="shared" si="11"/>
        <v>0.18128389231339492</v>
      </c>
      <c r="G55" s="10" t="s">
        <v>383</v>
      </c>
      <c r="I55" s="20">
        <v>18316.12</v>
      </c>
      <c r="J55" s="20">
        <v>79054</v>
      </c>
      <c r="K55" s="20">
        <f>I55-J55</f>
        <v>-60737.880000000005</v>
      </c>
      <c r="L55" s="21">
        <f>+I55/J55</f>
        <v>0.23169124901965743</v>
      </c>
      <c r="M55" s="21"/>
      <c r="N55" s="20">
        <v>544578</v>
      </c>
      <c r="O55" s="20">
        <f>I55-N55</f>
        <v>-526261.88</v>
      </c>
      <c r="P55" s="21">
        <f>+I55/N55</f>
        <v>3.3633602532603224E-2</v>
      </c>
      <c r="Q55" s="24"/>
    </row>
    <row r="56" spans="1:17" x14ac:dyDescent="0.2">
      <c r="B56" s="20">
        <f>+Expenditures!C195+Expenditures!C207-Expenditures!C203-Expenditures!C205-Expenditures!C206</f>
        <v>2577.1999999999998</v>
      </c>
      <c r="C56" s="20">
        <v>1567</v>
      </c>
      <c r="D56" s="20">
        <f>B56-C56</f>
        <v>1010.1999999999998</v>
      </c>
      <c r="E56" s="21">
        <f t="shared" si="11"/>
        <v>1.6446713465220164</v>
      </c>
      <c r="G56" s="10" t="s">
        <v>384</v>
      </c>
      <c r="I56" s="20">
        <f>+Expenditures!D195+Expenditures!D207-Expenditures!D203-Expenditures!D205-Expenditures!D206</f>
        <v>6543.1000000000022</v>
      </c>
      <c r="J56" s="20">
        <f>+Expenditures!E195+Expenditures!E207-Expenditures!E203-Expenditures!E205-Expenditures!E206</f>
        <v>6384</v>
      </c>
      <c r="K56" s="20">
        <f>I56-J56</f>
        <v>159.10000000000218</v>
      </c>
      <c r="L56" s="21">
        <f>+I56/J56</f>
        <v>1.0249216791979954</v>
      </c>
      <c r="M56" s="21"/>
      <c r="N56" s="20">
        <v>33300</v>
      </c>
      <c r="O56" s="20">
        <f>I56-N56</f>
        <v>-26756.899999999998</v>
      </c>
      <c r="P56" s="21">
        <f>+I56/N56</f>
        <v>0.19648948948948955</v>
      </c>
      <c r="Q56" s="24"/>
    </row>
    <row r="57" spans="1:17" s="8" customFormat="1" x14ac:dyDescent="0.2">
      <c r="B57" s="32">
        <f>B56+B55+B54</f>
        <v>19376.93</v>
      </c>
      <c r="C57" s="32">
        <f>C56+C55+C54</f>
        <v>76807.75</v>
      </c>
      <c r="D57" s="32">
        <f>+B57-C57</f>
        <v>-57430.82</v>
      </c>
      <c r="E57" s="21">
        <f>+B57/C57</f>
        <v>0.25227831826866431</v>
      </c>
      <c r="G57" s="8" t="s">
        <v>385</v>
      </c>
      <c r="I57" s="32">
        <f>I56+I55+I54</f>
        <v>30819.89</v>
      </c>
      <c r="J57" s="32">
        <f>J56+J55+J54</f>
        <v>90237.5</v>
      </c>
      <c r="K57" s="32">
        <f>K56+K55+K54</f>
        <v>-59417.61</v>
      </c>
      <c r="L57" s="21">
        <f>+I57/J57</f>
        <v>0.34154193101537611</v>
      </c>
      <c r="M57" s="21"/>
      <c r="N57" s="32">
        <f>N56+N55+N54</f>
        <v>608910</v>
      </c>
      <c r="O57" s="32">
        <f>O56+O55+O54</f>
        <v>-578090.11</v>
      </c>
      <c r="P57" s="21">
        <f>+I57/N57</f>
        <v>5.061485276970324E-2</v>
      </c>
      <c r="Q57" s="24"/>
    </row>
    <row r="58" spans="1:17" s="27" customFormat="1" ht="14.25" x14ac:dyDescent="0.2">
      <c r="A58" s="10"/>
      <c r="B58" s="11"/>
      <c r="C58" s="11"/>
      <c r="D58" s="11"/>
      <c r="E58" s="21"/>
      <c r="F58" s="10"/>
      <c r="G58" s="10"/>
      <c r="H58" s="10"/>
      <c r="I58" s="11"/>
      <c r="J58" s="11"/>
      <c r="K58" s="11"/>
      <c r="L58" s="25"/>
      <c r="Q58" s="24"/>
    </row>
    <row r="59" spans="1:17" x14ac:dyDescent="0.2">
      <c r="B59" s="22">
        <f>+B57+B52+B50+B48+B43+B38+B32+B27</f>
        <v>755622.3</v>
      </c>
      <c r="C59" s="22">
        <f>+C57+C52+C50+C48+C43+C38+C32+C27</f>
        <v>547247.25</v>
      </c>
      <c r="D59" s="22">
        <f>B59-C59</f>
        <v>208375.05000000005</v>
      </c>
      <c r="E59" s="21"/>
      <c r="F59" s="8"/>
      <c r="G59" s="23" t="s">
        <v>386</v>
      </c>
      <c r="H59" s="8"/>
      <c r="I59" s="22">
        <f>+I57+I52+I50+I48+I43+I38+I32+I27</f>
        <v>1198399.19</v>
      </c>
      <c r="J59" s="22">
        <f>+J57+J52+J50+J48+J43+J38+J32+J27</f>
        <v>972322.5</v>
      </c>
      <c r="K59" s="22">
        <f>I59-J59</f>
        <v>226076.68999999994</v>
      </c>
      <c r="L59" s="21"/>
      <c r="M59" s="34"/>
      <c r="N59" s="22">
        <f>+N57+N52+N50+N48+N43+N38+N32+N27</f>
        <v>6163344</v>
      </c>
      <c r="O59" s="22">
        <f>I59-N59</f>
        <v>-4964944.8100000005</v>
      </c>
      <c r="P59" s="21"/>
      <c r="Q59" s="24"/>
    </row>
    <row r="60" spans="1:17" s="27" customFormat="1" ht="14.25" x14ac:dyDescent="0.2">
      <c r="A60" s="10"/>
      <c r="B60" s="11"/>
      <c r="C60" s="11"/>
      <c r="D60" s="11"/>
      <c r="E60" s="21"/>
      <c r="F60" s="10"/>
      <c r="G60" s="10"/>
      <c r="H60" s="10"/>
      <c r="I60" s="11"/>
      <c r="J60" s="11"/>
      <c r="K60" s="11"/>
      <c r="L60" s="25"/>
      <c r="Q60" s="24"/>
    </row>
    <row r="61" spans="1:17" x14ac:dyDescent="0.2">
      <c r="B61" s="22">
        <f>+B21-B59</f>
        <v>404639.04599999986</v>
      </c>
      <c r="C61" s="22">
        <f>+C21-C59</f>
        <v>223032.17000000004</v>
      </c>
      <c r="D61" s="22">
        <f>B61-C61</f>
        <v>181606.87599999981</v>
      </c>
      <c r="E61" s="21"/>
      <c r="F61" s="8"/>
      <c r="G61" s="23" t="s">
        <v>387</v>
      </c>
      <c r="H61" s="8"/>
      <c r="I61" s="22">
        <f>+I21-I59</f>
        <v>502968.07199999993</v>
      </c>
      <c r="J61" s="22">
        <f>+J21-J59</f>
        <v>280415.91999999993</v>
      </c>
      <c r="K61" s="22">
        <f>+K21-K59</f>
        <v>222552.152</v>
      </c>
      <c r="L61" s="21"/>
      <c r="M61" s="35"/>
      <c r="N61" s="22">
        <f>+N21-N59</f>
        <v>45222</v>
      </c>
      <c r="O61" s="22">
        <f>I61-N61</f>
        <v>457746.07199999993</v>
      </c>
      <c r="P61" s="21"/>
    </row>
    <row r="63" spans="1:17" s="36" customFormat="1" ht="14.25" hidden="1" x14ac:dyDescent="0.2">
      <c r="A63" s="27"/>
      <c r="D63" s="37" t="s">
        <v>388</v>
      </c>
      <c r="F63" s="63" t="s">
        <v>389</v>
      </c>
      <c r="G63" s="63"/>
      <c r="H63" s="63"/>
      <c r="I63" s="63"/>
      <c r="J63" s="63"/>
      <c r="K63" s="63"/>
      <c r="L63" s="63"/>
      <c r="M63" s="63"/>
      <c r="N63" s="63"/>
    </row>
    <row r="64" spans="1:17" s="36" customFormat="1" ht="11.25" hidden="1" x14ac:dyDescent="0.2">
      <c r="C64" s="37"/>
      <c r="G64" s="38" t="s">
        <v>390</v>
      </c>
      <c r="I64" s="39">
        <f>-I6*0.03</f>
        <v>-12018.6096</v>
      </c>
      <c r="J64" s="39">
        <f>-J6*0.03</f>
        <v>-2550</v>
      </c>
      <c r="L64" s="36" t="s">
        <v>390</v>
      </c>
      <c r="N64" s="39">
        <v>-23100</v>
      </c>
    </row>
    <row r="65" spans="1:15" s="36" customFormat="1" ht="11.25" hidden="1" x14ac:dyDescent="0.2">
      <c r="B65" s="37"/>
      <c r="C65" s="37"/>
      <c r="D65" s="37"/>
      <c r="G65" s="38" t="s">
        <v>391</v>
      </c>
      <c r="I65" s="39">
        <f>-0.2*I11</f>
        <v>-28473.624</v>
      </c>
      <c r="J65" s="39">
        <f>-0.2*J11</f>
        <v>-16965</v>
      </c>
      <c r="L65" s="36" t="s">
        <v>391</v>
      </c>
      <c r="N65" s="39">
        <v>-38500</v>
      </c>
    </row>
    <row r="66" spans="1:15" s="36" customFormat="1" ht="11.25" hidden="1" x14ac:dyDescent="0.2">
      <c r="B66" s="37"/>
      <c r="C66" s="37"/>
      <c r="D66" s="37"/>
      <c r="G66" s="38" t="s">
        <v>392</v>
      </c>
      <c r="I66" s="39">
        <f>995729*-0.05</f>
        <v>-49786.450000000004</v>
      </c>
      <c r="J66" s="39">
        <f>-0.05*(755000)</f>
        <v>-37750</v>
      </c>
      <c r="L66" s="36" t="s">
        <v>392</v>
      </c>
      <c r="N66" s="39">
        <v>-37750</v>
      </c>
    </row>
    <row r="67" spans="1:15" s="36" customFormat="1" ht="11.25" hidden="1" x14ac:dyDescent="0.2">
      <c r="B67" s="37"/>
      <c r="C67" s="37"/>
      <c r="D67" s="37"/>
      <c r="F67" s="40" t="s">
        <v>393</v>
      </c>
      <c r="G67" s="41"/>
      <c r="H67" s="40"/>
      <c r="I67" s="42">
        <f>-SUM(I64:I66)</f>
        <v>90278.683600000004</v>
      </c>
      <c r="J67" s="42">
        <f>-SUM(J64:J66)</f>
        <v>57265</v>
      </c>
      <c r="K67" s="40"/>
      <c r="L67" s="40"/>
      <c r="M67" s="40"/>
      <c r="N67" s="42">
        <v>99350</v>
      </c>
    </row>
    <row r="68" spans="1:15" s="36" customFormat="1" ht="11.25" hidden="1" x14ac:dyDescent="0.2">
      <c r="B68" s="37"/>
      <c r="C68" s="37"/>
      <c r="D68" s="37"/>
      <c r="G68" s="38"/>
      <c r="I68" s="39"/>
      <c r="J68" s="39"/>
    </row>
    <row r="69" spans="1:15" s="27" customFormat="1" ht="14.25" hidden="1" x14ac:dyDescent="0.2">
      <c r="A69" s="36"/>
      <c r="B69" s="36"/>
      <c r="C69" s="36"/>
      <c r="D69" s="37"/>
      <c r="E69" s="36"/>
      <c r="F69" s="63" t="s">
        <v>394</v>
      </c>
      <c r="G69" s="63"/>
      <c r="H69" s="63"/>
      <c r="I69" s="63"/>
      <c r="J69" s="63"/>
      <c r="K69" s="63"/>
      <c r="L69" s="63"/>
      <c r="M69" s="63"/>
      <c r="N69" s="63"/>
    </row>
    <row r="70" spans="1:15" s="27" customFormat="1" ht="14.25" hidden="1" x14ac:dyDescent="0.2">
      <c r="A70" s="36"/>
      <c r="B70" s="36"/>
      <c r="C70" s="36"/>
      <c r="D70" s="43"/>
      <c r="E70" s="36"/>
      <c r="F70" s="36"/>
      <c r="G70" s="44" t="s">
        <v>395</v>
      </c>
      <c r="H70" s="36"/>
      <c r="I70" s="39">
        <f>-I8*0.5</f>
        <v>-8429.7849999999999</v>
      </c>
      <c r="J70" s="39">
        <f>-J8*0.5</f>
        <v>-6837.5</v>
      </c>
      <c r="K70" s="36"/>
      <c r="L70" s="45" t="s">
        <v>395</v>
      </c>
      <c r="N70" s="39">
        <v>-50000</v>
      </c>
    </row>
    <row r="71" spans="1:15" s="36" customFormat="1" ht="11.25" hidden="1" x14ac:dyDescent="0.2">
      <c r="F71" s="40" t="s">
        <v>396</v>
      </c>
      <c r="G71" s="40"/>
      <c r="H71" s="40"/>
      <c r="I71" s="46">
        <f>-I70</f>
        <v>8429.7849999999999</v>
      </c>
      <c r="J71" s="46">
        <f>-J70</f>
        <v>6837.5</v>
      </c>
      <c r="K71" s="40"/>
      <c r="L71" s="40"/>
      <c r="M71" s="40"/>
      <c r="N71" s="46">
        <v>50000</v>
      </c>
    </row>
    <row r="72" spans="1:15" s="36" customFormat="1" ht="11.25" hidden="1" x14ac:dyDescent="0.2">
      <c r="D72" s="37"/>
      <c r="G72" s="38"/>
      <c r="L72" s="47"/>
    </row>
    <row r="73" spans="1:15" s="36" customFormat="1" ht="14.25" hidden="1" x14ac:dyDescent="0.2">
      <c r="D73" s="37"/>
      <c r="G73" s="27"/>
      <c r="K73" s="39"/>
      <c r="N73" s="27"/>
    </row>
    <row r="74" spans="1:15" s="36" customFormat="1" hidden="1" x14ac:dyDescent="0.2">
      <c r="D74" s="37"/>
      <c r="G74" s="23" t="s">
        <v>397</v>
      </c>
      <c r="I74" s="22">
        <f>+I61-I67-I71</f>
        <v>404259.60339999996</v>
      </c>
      <c r="J74" s="22">
        <f>+J61-J67-J71</f>
        <v>216313.41999999993</v>
      </c>
      <c r="K74" s="39"/>
      <c r="N74" s="22">
        <v>-114634</v>
      </c>
    </row>
    <row r="75" spans="1:15" s="36" customFormat="1" ht="14.25" hidden="1" x14ac:dyDescent="0.2">
      <c r="A75" s="27"/>
      <c r="B75" s="27"/>
      <c r="C75" s="27"/>
      <c r="D75" s="48"/>
      <c r="E75" s="27"/>
      <c r="F75" s="27"/>
      <c r="G75" s="27"/>
      <c r="H75" s="27"/>
      <c r="I75" s="27"/>
      <c r="J75" s="27"/>
      <c r="K75" s="39"/>
    </row>
    <row r="76" spans="1:15" ht="14.25" x14ac:dyDescent="0.2">
      <c r="A76" s="27"/>
      <c r="B76" s="49"/>
      <c r="C76" s="27"/>
      <c r="D76" s="48"/>
      <c r="E76" s="27"/>
      <c r="F76" s="27"/>
      <c r="H76" s="27"/>
      <c r="I76" s="49"/>
      <c r="J76" s="27"/>
      <c r="N76" s="50"/>
    </row>
    <row r="77" spans="1:15" x14ac:dyDescent="0.2">
      <c r="B77" s="24"/>
      <c r="C77" s="24"/>
      <c r="I77" s="24"/>
      <c r="J77" s="24"/>
      <c r="N77" s="24"/>
    </row>
    <row r="78" spans="1:15" x14ac:dyDescent="0.2">
      <c r="D78" s="10"/>
      <c r="K78" s="10"/>
      <c r="O78" s="33"/>
    </row>
    <row r="79" spans="1:15" x14ac:dyDescent="0.2">
      <c r="D79" s="10"/>
      <c r="K79" s="10"/>
      <c r="O79" s="33"/>
    </row>
    <row r="80" spans="1:15" x14ac:dyDescent="0.2">
      <c r="D80" s="10"/>
      <c r="K80" s="10"/>
      <c r="O80" s="33"/>
    </row>
    <row r="81" spans="2:15" x14ac:dyDescent="0.2">
      <c r="B81" s="11"/>
      <c r="C81" s="11"/>
      <c r="D81" s="10"/>
      <c r="K81" s="10"/>
      <c r="N81" s="11"/>
      <c r="O81" s="33"/>
    </row>
    <row r="82" spans="2:15" x14ac:dyDescent="0.2">
      <c r="B82" s="11">
        <f>SUM(B78:B81)</f>
        <v>0</v>
      </c>
      <c r="C82" s="11">
        <f>SUM(C78:C81)</f>
        <v>0</v>
      </c>
      <c r="D82" s="10"/>
      <c r="K82" s="10"/>
      <c r="N82" s="11">
        <f>SUM(N78:N81)</f>
        <v>0</v>
      </c>
      <c r="O82" s="33"/>
    </row>
  </sheetData>
  <mergeCells count="6">
    <mergeCell ref="F69:N69"/>
    <mergeCell ref="B1:G1"/>
    <mergeCell ref="I1:P1"/>
    <mergeCell ref="B3:E3"/>
    <mergeCell ref="I3:P3"/>
    <mergeCell ref="F63:N63"/>
  </mergeCells>
  <conditionalFormatting sqref="B6:D13 I6:K13 B16:D18 I16:K18 B25:D26 I25:K26 B29:D31 I29:K31 B34:D37 I34:K37 B40:D42 I40:K42 B45:D47 I45:K47 B50:D50 I50:K50 B52:D52 I52:K52 B54:D56 I54:K56">
    <cfRule type="containsBlanks" dxfId="0" priority="1">
      <formula>LEN(TRIM(B6))=0</formula>
    </cfRule>
    <cfRule type="containsBlanks" priority="3">
      <formula>LEN(TRIM(B6))=0</formula>
    </cfRule>
  </conditionalFormatting>
  <printOptions horizontalCentered="1"/>
  <pageMargins left="0" right="0" top="0" bottom="0" header="0.05" footer="0.05"/>
  <pageSetup paperSize="3" scale="59" orientation="landscape" r:id="rId1"/>
  <headerFooter>
    <oddHeader>&amp;L&amp;8&amp;D
&amp;T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D8DBC-D63A-4903-8F5F-A92166285119}">
  <dimension ref="A1:H36"/>
  <sheetViews>
    <sheetView workbookViewId="0">
      <pane ySplit="1" topLeftCell="A5" activePane="bottomLeft" state="frozen"/>
      <selection pane="bottomLeft" activeCell="O14" sqref="O14"/>
    </sheetView>
  </sheetViews>
  <sheetFormatPr defaultRowHeight="15" x14ac:dyDescent="0.25"/>
  <cols>
    <col min="1" max="1" width="23.7109375" customWidth="1"/>
    <col min="2" max="2" width="31.85546875" customWidth="1"/>
    <col min="3" max="3" width="18.85546875" style="58" customWidth="1"/>
    <col min="4" max="4" width="17.5703125" style="58" customWidth="1"/>
    <col min="5" max="5" width="16" style="58" customWidth="1"/>
    <col min="6" max="6" width="15.42578125" style="58" customWidth="1"/>
    <col min="7" max="12" width="0" hidden="1" customWidth="1"/>
  </cols>
  <sheetData>
    <row r="1" spans="1:8" x14ac:dyDescent="0.25">
      <c r="A1" s="1" t="s">
        <v>0</v>
      </c>
      <c r="B1" s="1" t="s">
        <v>1</v>
      </c>
      <c r="C1" s="60" t="s">
        <v>2</v>
      </c>
      <c r="D1" s="60" t="s">
        <v>3</v>
      </c>
      <c r="E1" s="60" t="s">
        <v>4</v>
      </c>
      <c r="F1" s="60" t="s">
        <v>5</v>
      </c>
    </row>
    <row r="2" spans="1:8" x14ac:dyDescent="0.25">
      <c r="A2" s="2" t="s">
        <v>6</v>
      </c>
      <c r="B2" s="2" t="s">
        <v>7</v>
      </c>
      <c r="C2" s="61">
        <v>400620.32</v>
      </c>
      <c r="D2" s="61">
        <v>400620.32</v>
      </c>
      <c r="E2" s="61">
        <v>85000</v>
      </c>
      <c r="F2" s="61">
        <v>850000</v>
      </c>
      <c r="G2" t="b">
        <v>1</v>
      </c>
      <c r="H2" t="b">
        <v>1</v>
      </c>
    </row>
    <row r="3" spans="1:8" x14ac:dyDescent="0.25">
      <c r="A3" s="2" t="s">
        <v>8</v>
      </c>
      <c r="B3" s="2" t="s">
        <v>9</v>
      </c>
      <c r="C3" s="61">
        <v>34350.160000000003</v>
      </c>
      <c r="D3" s="61">
        <v>80390.31</v>
      </c>
      <c r="E3" s="61">
        <v>69700</v>
      </c>
      <c r="F3" s="61">
        <v>825000</v>
      </c>
      <c r="G3" t="b">
        <v>1</v>
      </c>
      <c r="H3" t="b">
        <v>1</v>
      </c>
    </row>
    <row r="4" spans="1:8" x14ac:dyDescent="0.25">
      <c r="A4" s="2" t="s">
        <v>10</v>
      </c>
      <c r="B4" s="2" t="s">
        <v>11</v>
      </c>
      <c r="C4" s="61">
        <v>16859.57</v>
      </c>
      <c r="D4" s="61">
        <v>16859.57</v>
      </c>
      <c r="E4" s="61">
        <v>13675</v>
      </c>
      <c r="F4" s="61">
        <v>475000</v>
      </c>
      <c r="G4" t="b">
        <v>1</v>
      </c>
      <c r="H4" t="b">
        <v>1</v>
      </c>
    </row>
    <row r="5" spans="1:8" x14ac:dyDescent="0.25">
      <c r="A5" s="2" t="s">
        <v>12</v>
      </c>
      <c r="B5" s="2" t="s">
        <v>13</v>
      </c>
      <c r="C5" s="61">
        <v>11037.34</v>
      </c>
      <c r="D5" s="61">
        <v>11037.34</v>
      </c>
      <c r="E5" s="61">
        <v>12500</v>
      </c>
      <c r="F5" s="61">
        <v>50000</v>
      </c>
      <c r="G5" t="b">
        <v>1</v>
      </c>
      <c r="H5" t="b">
        <v>1</v>
      </c>
    </row>
    <row r="6" spans="1:8" x14ac:dyDescent="0.25">
      <c r="A6" s="2" t="s">
        <v>14</v>
      </c>
      <c r="B6" s="2" t="s">
        <v>15</v>
      </c>
      <c r="C6" s="61">
        <v>0</v>
      </c>
      <c r="D6" s="61">
        <v>0</v>
      </c>
      <c r="E6" s="61">
        <v>0</v>
      </c>
      <c r="F6" s="61">
        <v>85000</v>
      </c>
      <c r="G6" t="b">
        <v>1</v>
      </c>
      <c r="H6" t="b">
        <v>1</v>
      </c>
    </row>
    <row r="7" spans="1:8" x14ac:dyDescent="0.25">
      <c r="A7" s="2" t="s">
        <v>16</v>
      </c>
      <c r="B7" s="2" t="s">
        <v>17</v>
      </c>
      <c r="C7" s="61">
        <v>43440</v>
      </c>
      <c r="D7" s="61">
        <v>164794</v>
      </c>
      <c r="E7" s="61">
        <v>155750</v>
      </c>
      <c r="F7" s="61">
        <v>178446</v>
      </c>
      <c r="G7" t="b">
        <v>1</v>
      </c>
      <c r="H7" t="b">
        <v>1</v>
      </c>
    </row>
    <row r="8" spans="1:8" x14ac:dyDescent="0.25">
      <c r="A8" s="2" t="s">
        <v>18</v>
      </c>
      <c r="B8" s="2" t="s">
        <v>19</v>
      </c>
      <c r="C8" s="61">
        <v>187300.7</v>
      </c>
      <c r="D8" s="61">
        <v>379172.7</v>
      </c>
      <c r="E8" s="61">
        <v>360060</v>
      </c>
      <c r="F8" s="61">
        <v>451380</v>
      </c>
      <c r="G8" t="b">
        <v>1</v>
      </c>
      <c r="H8" t="b">
        <v>1</v>
      </c>
    </row>
    <row r="9" spans="1:8" x14ac:dyDescent="0.25">
      <c r="A9" s="2" t="s">
        <v>20</v>
      </c>
      <c r="B9" s="2" t="s">
        <v>21</v>
      </c>
      <c r="C9" s="61">
        <v>347630</v>
      </c>
      <c r="D9" s="61">
        <v>438980</v>
      </c>
      <c r="E9" s="61">
        <v>393600</v>
      </c>
      <c r="F9" s="61">
        <v>480000</v>
      </c>
      <c r="G9" t="b">
        <v>1</v>
      </c>
      <c r="H9" t="b">
        <v>1</v>
      </c>
    </row>
    <row r="10" spans="1:8" x14ac:dyDescent="0.25">
      <c r="A10" s="2" t="s">
        <v>22</v>
      </c>
      <c r="B10" s="2" t="s">
        <v>23</v>
      </c>
      <c r="C10" s="61">
        <v>6745</v>
      </c>
      <c r="D10" s="61">
        <v>6745</v>
      </c>
      <c r="E10" s="61">
        <v>10000</v>
      </c>
      <c r="F10" s="61">
        <v>322740</v>
      </c>
      <c r="G10" t="b">
        <v>1</v>
      </c>
      <c r="H10" t="b">
        <v>1</v>
      </c>
    </row>
    <row r="11" spans="1:8" x14ac:dyDescent="0.25">
      <c r="A11" s="2" t="s">
        <v>24</v>
      </c>
      <c r="B11" s="2" t="s">
        <v>25</v>
      </c>
      <c r="C11" s="61">
        <v>869.3</v>
      </c>
      <c r="D11" s="61">
        <v>869.3</v>
      </c>
      <c r="E11" s="61">
        <v>1516</v>
      </c>
      <c r="F11" s="61">
        <v>1285000</v>
      </c>
      <c r="G11" t="b">
        <v>1</v>
      </c>
      <c r="H11" t="b">
        <v>1</v>
      </c>
    </row>
    <row r="12" spans="1:8" x14ac:dyDescent="0.25">
      <c r="A12" s="2" t="s">
        <v>26</v>
      </c>
      <c r="B12" s="2" t="s">
        <v>27</v>
      </c>
      <c r="C12" s="61">
        <v>99833.75</v>
      </c>
      <c r="D12" s="61">
        <v>142368.12</v>
      </c>
      <c r="E12" s="61">
        <v>84825</v>
      </c>
      <c r="F12" s="61">
        <v>500000</v>
      </c>
      <c r="G12" t="b">
        <v>1</v>
      </c>
      <c r="H12" t="b">
        <v>1</v>
      </c>
    </row>
    <row r="13" spans="1:8" x14ac:dyDescent="0.25">
      <c r="A13" s="2" t="s">
        <v>28</v>
      </c>
      <c r="B13" s="2" t="s">
        <v>29</v>
      </c>
      <c r="C13" s="61">
        <v>2700</v>
      </c>
      <c r="D13" s="61">
        <v>7350</v>
      </c>
      <c r="E13" s="61">
        <v>3300</v>
      </c>
      <c r="F13" s="61">
        <v>20000</v>
      </c>
      <c r="G13" t="b">
        <v>1</v>
      </c>
      <c r="H13" t="b">
        <v>1</v>
      </c>
    </row>
    <row r="14" spans="1:8" x14ac:dyDescent="0.25">
      <c r="A14" s="2" t="s">
        <v>30</v>
      </c>
      <c r="B14" s="2" t="s">
        <v>31</v>
      </c>
      <c r="C14" s="61">
        <v>9746.7999999999993</v>
      </c>
      <c r="D14" s="61">
        <v>18656.8</v>
      </c>
      <c r="E14" s="61">
        <v>7950</v>
      </c>
      <c r="F14" s="61">
        <v>53000</v>
      </c>
      <c r="G14" t="b">
        <v>1</v>
      </c>
      <c r="H14" t="b">
        <v>1</v>
      </c>
    </row>
    <row r="15" spans="1:8" x14ac:dyDescent="0.25">
      <c r="A15" s="2" t="s">
        <v>32</v>
      </c>
      <c r="B15" s="2" t="s">
        <v>33</v>
      </c>
      <c r="C15" s="61">
        <v>11013</v>
      </c>
      <c r="D15" s="61">
        <v>16641.72</v>
      </c>
      <c r="E15" s="61">
        <v>9400</v>
      </c>
      <c r="F15" s="61">
        <v>56500</v>
      </c>
      <c r="G15" t="b">
        <v>1</v>
      </c>
      <c r="H15" t="b">
        <v>1</v>
      </c>
    </row>
    <row r="16" spans="1:8" x14ac:dyDescent="0.25">
      <c r="A16" s="2" t="s">
        <v>34</v>
      </c>
      <c r="B16" s="2" t="s">
        <v>35</v>
      </c>
      <c r="C16" s="61">
        <v>25425</v>
      </c>
      <c r="D16" s="61">
        <v>31990</v>
      </c>
      <c r="E16" s="61">
        <v>32000</v>
      </c>
      <c r="F16" s="61">
        <v>400000</v>
      </c>
      <c r="G16" t="b">
        <v>1</v>
      </c>
      <c r="H16" t="b">
        <v>1</v>
      </c>
    </row>
    <row r="17" spans="1:8" x14ac:dyDescent="0.25">
      <c r="A17" s="2" t="s">
        <v>36</v>
      </c>
      <c r="B17" s="2" t="s">
        <v>37</v>
      </c>
      <c r="C17" s="61">
        <v>1693</v>
      </c>
      <c r="D17" s="61">
        <v>3075</v>
      </c>
      <c r="E17" s="61">
        <v>0</v>
      </c>
      <c r="F17" s="61">
        <v>0</v>
      </c>
      <c r="G17" t="b">
        <v>1</v>
      </c>
      <c r="H17" t="b">
        <v>1</v>
      </c>
    </row>
    <row r="18" spans="1:8" x14ac:dyDescent="0.25">
      <c r="A18" s="2" t="s">
        <v>38</v>
      </c>
      <c r="B18" s="2" t="s">
        <v>39</v>
      </c>
      <c r="C18" s="61">
        <v>4536.22</v>
      </c>
      <c r="D18" s="61">
        <v>8491.7199999999993</v>
      </c>
      <c r="E18" s="61">
        <v>13350</v>
      </c>
      <c r="F18" s="61">
        <v>80000</v>
      </c>
      <c r="G18" t="b">
        <v>1</v>
      </c>
      <c r="H18" t="b">
        <v>1</v>
      </c>
    </row>
    <row r="19" spans="1:8" x14ac:dyDescent="0.25">
      <c r="A19" s="2" t="s">
        <v>40</v>
      </c>
      <c r="B19" s="2" t="s">
        <v>41</v>
      </c>
      <c r="C19" s="61">
        <v>3102.25</v>
      </c>
      <c r="D19" s="61">
        <v>5129.5</v>
      </c>
      <c r="E19" s="61">
        <v>5000</v>
      </c>
      <c r="F19" s="61">
        <v>30000</v>
      </c>
      <c r="G19" t="b">
        <v>1</v>
      </c>
      <c r="H19" t="b">
        <v>1</v>
      </c>
    </row>
    <row r="20" spans="1:8" x14ac:dyDescent="0.25">
      <c r="A20" s="2" t="s">
        <v>42</v>
      </c>
      <c r="B20" s="2" t="s">
        <v>43</v>
      </c>
      <c r="C20" s="61">
        <v>613.67999999999995</v>
      </c>
      <c r="D20" s="61">
        <v>3199.73</v>
      </c>
      <c r="E20" s="61">
        <v>750</v>
      </c>
      <c r="F20" s="61">
        <v>4500</v>
      </c>
      <c r="G20" t="b">
        <v>1</v>
      </c>
      <c r="H20" t="b">
        <v>1</v>
      </c>
    </row>
    <row r="21" spans="1:8" x14ac:dyDescent="0.25">
      <c r="A21" s="2" t="s">
        <v>44</v>
      </c>
      <c r="B21" s="2" t="s">
        <v>45</v>
      </c>
      <c r="C21" s="61">
        <v>0</v>
      </c>
      <c r="D21" s="61">
        <v>500</v>
      </c>
      <c r="E21" s="61">
        <v>250</v>
      </c>
      <c r="F21" s="61">
        <v>1500</v>
      </c>
      <c r="G21" t="b">
        <v>1</v>
      </c>
      <c r="H21" t="b">
        <v>1</v>
      </c>
    </row>
    <row r="22" spans="1:8" x14ac:dyDescent="0.25">
      <c r="A22" s="2" t="s">
        <v>46</v>
      </c>
      <c r="B22" s="2" t="s">
        <v>47</v>
      </c>
      <c r="C22" s="61">
        <v>22660.02</v>
      </c>
      <c r="D22" s="61">
        <v>48099.53</v>
      </c>
      <c r="E22" s="61">
        <v>50000</v>
      </c>
      <c r="F22" s="61">
        <v>300000</v>
      </c>
      <c r="G22" t="b">
        <v>1</v>
      </c>
      <c r="H22" t="b">
        <v>1</v>
      </c>
    </row>
    <row r="23" spans="1:8" x14ac:dyDescent="0.25">
      <c r="A23" s="2" t="s">
        <v>48</v>
      </c>
      <c r="B23" s="2" t="s">
        <v>49</v>
      </c>
      <c r="C23" s="61">
        <v>3000</v>
      </c>
      <c r="D23" s="61">
        <v>3100</v>
      </c>
      <c r="E23" s="61">
        <v>0</v>
      </c>
      <c r="F23" s="61">
        <v>0</v>
      </c>
      <c r="G23" t="b">
        <v>1</v>
      </c>
      <c r="H23" t="b">
        <v>1</v>
      </c>
    </row>
    <row r="24" spans="1:8" x14ac:dyDescent="0.25">
      <c r="A24" s="2" t="s">
        <v>50</v>
      </c>
      <c r="B24" s="2" t="s">
        <v>51</v>
      </c>
      <c r="C24" s="61">
        <v>3000</v>
      </c>
      <c r="D24" s="61">
        <v>7000</v>
      </c>
      <c r="E24" s="61">
        <v>0</v>
      </c>
      <c r="F24" s="61">
        <v>0</v>
      </c>
      <c r="G24" t="b">
        <v>1</v>
      </c>
      <c r="H24" t="b">
        <v>1</v>
      </c>
    </row>
    <row r="25" spans="1:8" x14ac:dyDescent="0.25">
      <c r="A25" s="2" t="s">
        <v>52</v>
      </c>
      <c r="B25" s="2" t="s">
        <v>53</v>
      </c>
      <c r="C25" s="61">
        <v>50</v>
      </c>
      <c r="D25" s="61">
        <v>200</v>
      </c>
      <c r="E25" s="61">
        <v>165</v>
      </c>
      <c r="F25" s="61">
        <v>1000</v>
      </c>
      <c r="G25" t="b">
        <v>1</v>
      </c>
      <c r="H25" t="b">
        <v>1</v>
      </c>
    </row>
    <row r="26" spans="1:8" x14ac:dyDescent="0.25">
      <c r="A26" s="2" t="s">
        <v>54</v>
      </c>
      <c r="B26" s="2" t="s">
        <v>55</v>
      </c>
      <c r="C26" s="61">
        <v>960</v>
      </c>
      <c r="D26" s="61">
        <v>960</v>
      </c>
      <c r="E26" s="61">
        <v>20000</v>
      </c>
      <c r="F26" s="61">
        <v>60000</v>
      </c>
      <c r="G26" t="b">
        <v>1</v>
      </c>
      <c r="H26" t="b">
        <v>1</v>
      </c>
    </row>
    <row r="27" spans="1:8" x14ac:dyDescent="0.25">
      <c r="A27" s="2" t="s">
        <v>56</v>
      </c>
      <c r="B27" s="2" t="s">
        <v>57</v>
      </c>
      <c r="C27" s="61">
        <v>1801.96</v>
      </c>
      <c r="D27" s="61">
        <v>7683.18</v>
      </c>
      <c r="E27" s="61">
        <v>0</v>
      </c>
      <c r="F27" s="61">
        <v>0</v>
      </c>
      <c r="G27" t="b">
        <v>1</v>
      </c>
      <c r="H27" t="b">
        <v>1</v>
      </c>
    </row>
    <row r="28" spans="1:8" x14ac:dyDescent="0.25">
      <c r="A28" s="2" t="s">
        <v>58</v>
      </c>
      <c r="B28" s="2" t="s">
        <v>59</v>
      </c>
      <c r="C28" s="61">
        <v>0</v>
      </c>
      <c r="D28" s="61">
        <v>0</v>
      </c>
      <c r="E28" s="61">
        <v>0</v>
      </c>
      <c r="F28" s="61">
        <v>95000</v>
      </c>
      <c r="G28" t="b">
        <v>1</v>
      </c>
      <c r="H28" t="b">
        <v>1</v>
      </c>
    </row>
    <row r="29" spans="1:8" x14ac:dyDescent="0.25">
      <c r="A29" s="2" t="s">
        <v>60</v>
      </c>
      <c r="B29" s="2" t="s">
        <v>61</v>
      </c>
      <c r="C29" s="61">
        <v>1851.57</v>
      </c>
      <c r="D29" s="61">
        <v>2514.04</v>
      </c>
      <c r="E29" s="61">
        <v>415</v>
      </c>
      <c r="F29" s="61">
        <v>2500</v>
      </c>
      <c r="G29" t="b">
        <v>1</v>
      </c>
      <c r="H29" t="b">
        <v>1</v>
      </c>
    </row>
    <row r="30" spans="1:8" x14ac:dyDescent="0.25">
      <c r="A30" s="2" t="s">
        <v>62</v>
      </c>
      <c r="B30" s="2" t="s">
        <v>63</v>
      </c>
      <c r="C30" s="61">
        <v>0</v>
      </c>
      <c r="D30" s="61">
        <v>1138555.55</v>
      </c>
      <c r="E30" s="61">
        <v>0</v>
      </c>
      <c r="F30" s="61">
        <v>0</v>
      </c>
      <c r="G30" t="b">
        <v>1</v>
      </c>
      <c r="H30" t="b">
        <v>1</v>
      </c>
    </row>
    <row r="31" spans="1:8" x14ac:dyDescent="0.25">
      <c r="A31" s="2" t="s">
        <v>64</v>
      </c>
      <c r="B31" s="2" t="s">
        <v>65</v>
      </c>
      <c r="C31" s="61">
        <v>0</v>
      </c>
      <c r="D31" s="61">
        <v>1035</v>
      </c>
      <c r="E31" s="61">
        <v>0</v>
      </c>
      <c r="F31" s="61">
        <v>0</v>
      </c>
      <c r="G31" t="b">
        <v>1</v>
      </c>
      <c r="H31" t="b">
        <v>1</v>
      </c>
    </row>
    <row r="32" spans="1:8" x14ac:dyDescent="0.25">
      <c r="A32" s="2" t="s">
        <v>66</v>
      </c>
      <c r="B32" s="2" t="s">
        <v>67</v>
      </c>
      <c r="C32" s="61">
        <v>575</v>
      </c>
      <c r="D32" s="61">
        <v>2775</v>
      </c>
      <c r="E32" s="61">
        <v>0</v>
      </c>
      <c r="F32" s="61">
        <v>0</v>
      </c>
      <c r="G32" t="b">
        <v>1</v>
      </c>
      <c r="H32" t="b">
        <v>1</v>
      </c>
    </row>
    <row r="33" spans="1:8" x14ac:dyDescent="0.25">
      <c r="A33" s="2" t="s">
        <v>68</v>
      </c>
      <c r="B33" s="2" t="s">
        <v>69</v>
      </c>
      <c r="C33" s="61">
        <v>27517.27</v>
      </c>
      <c r="D33" s="61">
        <v>30035.27</v>
      </c>
      <c r="E33" s="61">
        <v>0</v>
      </c>
      <c r="F33" s="61">
        <v>0</v>
      </c>
      <c r="G33" t="b">
        <v>1</v>
      </c>
      <c r="H33" t="b">
        <v>1</v>
      </c>
    </row>
    <row r="34" spans="1:8" x14ac:dyDescent="0.25">
      <c r="A34" s="2" t="s">
        <v>70</v>
      </c>
      <c r="B34" s="2" t="s">
        <v>71</v>
      </c>
      <c r="C34" s="61">
        <v>0</v>
      </c>
      <c r="D34" s="61">
        <v>0</v>
      </c>
      <c r="E34" s="61">
        <v>0</v>
      </c>
      <c r="F34" s="61">
        <v>50000</v>
      </c>
      <c r="G34" t="b">
        <v>1</v>
      </c>
      <c r="H34" t="b">
        <v>1</v>
      </c>
    </row>
    <row r="35" spans="1:8" x14ac:dyDescent="0.25">
      <c r="A35" s="3" t="s">
        <v>72</v>
      </c>
      <c r="B35" s="3" t="s">
        <v>73</v>
      </c>
      <c r="C35" s="62">
        <f>SUMIF(H1:H34, TRUE, C1:C34)</f>
        <v>1268931.9100000001</v>
      </c>
      <c r="D35" s="62">
        <f>SUMIF(H1:H34, TRUE, D1:D34)</f>
        <v>2978828.7</v>
      </c>
      <c r="E35" s="62">
        <f>SUMIF(H1:H34, TRUE, E1:E34)</f>
        <v>1329206</v>
      </c>
      <c r="F35" s="62">
        <f>SUMIF(H1:H34, TRUE, F1:F34)</f>
        <v>6656566</v>
      </c>
    </row>
    <row r="36" spans="1:8" x14ac:dyDescent="0.25">
      <c r="A36" t="s">
        <v>74</v>
      </c>
    </row>
  </sheetData>
  <autoFilter ref="A1:F3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2F24-A26B-4350-9EF9-964B54B76B67}">
  <dimension ref="A1:J210"/>
  <sheetViews>
    <sheetView workbookViewId="0">
      <pane ySplit="1" topLeftCell="A182" activePane="bottomLeft" state="frozen"/>
      <selection pane="bottomLeft" activeCell="L193" sqref="L193"/>
    </sheetView>
  </sheetViews>
  <sheetFormatPr defaultRowHeight="15" x14ac:dyDescent="0.25"/>
  <cols>
    <col min="1" max="1" width="14.42578125" customWidth="1"/>
    <col min="2" max="2" width="40.140625" customWidth="1"/>
    <col min="3" max="3" width="16.42578125" style="58" customWidth="1"/>
    <col min="4" max="4" width="16.140625" style="58" customWidth="1"/>
    <col min="5" max="5" width="14.7109375" style="58" customWidth="1"/>
    <col min="6" max="6" width="18" style="58" customWidth="1"/>
    <col min="7" max="10" width="0" hidden="1" customWidth="1"/>
  </cols>
  <sheetData>
    <row r="1" spans="1:10" x14ac:dyDescent="0.25">
      <c r="A1" s="1" t="s">
        <v>75</v>
      </c>
      <c r="B1" s="1" t="s">
        <v>76</v>
      </c>
      <c r="C1" s="60" t="s">
        <v>77</v>
      </c>
      <c r="D1" s="60" t="s">
        <v>78</v>
      </c>
      <c r="E1" s="60" t="s">
        <v>79</v>
      </c>
      <c r="F1" s="60" t="s">
        <v>80</v>
      </c>
      <c r="J1" t="s">
        <v>343</v>
      </c>
    </row>
    <row r="2" spans="1:10" x14ac:dyDescent="0.25">
      <c r="A2" s="2" t="s">
        <v>81</v>
      </c>
      <c r="B2" s="2" t="s">
        <v>82</v>
      </c>
      <c r="C2" s="61">
        <v>0</v>
      </c>
      <c r="D2" s="61">
        <v>0</v>
      </c>
      <c r="E2" s="61">
        <v>0</v>
      </c>
      <c r="F2" s="61">
        <v>0</v>
      </c>
      <c r="G2" t="b">
        <v>0</v>
      </c>
      <c r="H2" t="b">
        <v>1</v>
      </c>
    </row>
    <row r="3" spans="1:10" x14ac:dyDescent="0.25">
      <c r="A3" s="2" t="s">
        <v>83</v>
      </c>
      <c r="B3" s="2" t="s">
        <v>84</v>
      </c>
      <c r="C3" s="61">
        <v>0</v>
      </c>
      <c r="D3" s="61">
        <v>0</v>
      </c>
      <c r="E3" s="61">
        <v>0</v>
      </c>
      <c r="F3" s="61">
        <v>0</v>
      </c>
      <c r="G3" t="b">
        <v>0</v>
      </c>
      <c r="H3" t="b">
        <v>1</v>
      </c>
    </row>
    <row r="4" spans="1:10" x14ac:dyDescent="0.25">
      <c r="A4" s="2" t="s">
        <v>85</v>
      </c>
      <c r="B4" s="2" t="s">
        <v>86</v>
      </c>
      <c r="C4" s="61">
        <v>2301.94</v>
      </c>
      <c r="D4" s="61">
        <v>5578.19</v>
      </c>
      <c r="E4" s="61">
        <v>5515</v>
      </c>
      <c r="F4" s="61">
        <v>36500</v>
      </c>
      <c r="G4" t="b">
        <v>1</v>
      </c>
      <c r="H4" t="b">
        <v>1</v>
      </c>
    </row>
    <row r="5" spans="1:10" x14ac:dyDescent="0.25">
      <c r="A5" s="2" t="s">
        <v>87</v>
      </c>
      <c r="B5" s="2" t="s">
        <v>88</v>
      </c>
      <c r="C5" s="61">
        <v>290</v>
      </c>
      <c r="D5" s="61">
        <v>380</v>
      </c>
      <c r="E5" s="61">
        <v>0</v>
      </c>
      <c r="F5" s="61">
        <v>0</v>
      </c>
      <c r="G5" t="b">
        <v>1</v>
      </c>
      <c r="H5" t="b">
        <v>1</v>
      </c>
    </row>
    <row r="6" spans="1:10" x14ac:dyDescent="0.25">
      <c r="A6" s="2" t="s">
        <v>89</v>
      </c>
      <c r="B6" s="2" t="s">
        <v>90</v>
      </c>
      <c r="C6" s="61">
        <v>0</v>
      </c>
      <c r="D6" s="61">
        <v>0</v>
      </c>
      <c r="E6" s="61">
        <v>0</v>
      </c>
      <c r="F6" s="61">
        <v>5000</v>
      </c>
      <c r="G6" t="b">
        <v>1</v>
      </c>
      <c r="H6" t="b">
        <v>1</v>
      </c>
    </row>
    <row r="7" spans="1:10" x14ac:dyDescent="0.25">
      <c r="A7" s="2" t="s">
        <v>91</v>
      </c>
      <c r="B7" s="2" t="s">
        <v>49</v>
      </c>
      <c r="C7" s="61">
        <v>0</v>
      </c>
      <c r="D7" s="61">
        <v>0</v>
      </c>
      <c r="E7" s="61">
        <v>0</v>
      </c>
      <c r="F7" s="61">
        <v>15000</v>
      </c>
      <c r="G7" t="b">
        <v>1</v>
      </c>
      <c r="H7" t="b">
        <v>1</v>
      </c>
    </row>
    <row r="8" spans="1:10" x14ac:dyDescent="0.25">
      <c r="A8" s="2" t="s">
        <v>92</v>
      </c>
      <c r="B8" s="2" t="s">
        <v>93</v>
      </c>
      <c r="C8" s="61">
        <v>0</v>
      </c>
      <c r="D8" s="61">
        <v>0</v>
      </c>
      <c r="E8" s="61">
        <v>1670</v>
      </c>
      <c r="F8" s="61">
        <v>10000</v>
      </c>
      <c r="G8" t="b">
        <v>1</v>
      </c>
      <c r="H8" t="b">
        <v>1</v>
      </c>
    </row>
    <row r="9" spans="1:10" x14ac:dyDescent="0.25">
      <c r="A9" s="2" t="s">
        <v>94</v>
      </c>
      <c r="B9" s="2" t="s">
        <v>95</v>
      </c>
      <c r="C9" s="61">
        <v>22060</v>
      </c>
      <c r="D9" s="61">
        <v>30163.33</v>
      </c>
      <c r="E9" s="61">
        <v>11675</v>
      </c>
      <c r="F9" s="61">
        <v>70000</v>
      </c>
      <c r="G9" t="b">
        <v>1</v>
      </c>
      <c r="H9" t="b">
        <v>1</v>
      </c>
    </row>
    <row r="10" spans="1:10" x14ac:dyDescent="0.25">
      <c r="A10" s="2" t="s">
        <v>96</v>
      </c>
      <c r="B10" s="2" t="s">
        <v>97</v>
      </c>
      <c r="C10" s="61">
        <v>1500</v>
      </c>
      <c r="D10" s="61">
        <v>1500</v>
      </c>
      <c r="E10" s="61">
        <v>0</v>
      </c>
      <c r="F10" s="61">
        <v>67500</v>
      </c>
      <c r="G10" t="b">
        <v>1</v>
      </c>
      <c r="H10" t="b">
        <v>1</v>
      </c>
    </row>
    <row r="11" spans="1:10" x14ac:dyDescent="0.25">
      <c r="A11" s="2" t="s">
        <v>98</v>
      </c>
      <c r="B11" s="2" t="s">
        <v>99</v>
      </c>
      <c r="C11" s="61">
        <v>1387.56</v>
      </c>
      <c r="D11" s="61">
        <v>2815.56</v>
      </c>
      <c r="E11" s="61">
        <v>500</v>
      </c>
      <c r="F11" s="61">
        <v>3000</v>
      </c>
      <c r="G11" t="b">
        <v>1</v>
      </c>
      <c r="H11" t="b">
        <v>1</v>
      </c>
    </row>
    <row r="12" spans="1:10" x14ac:dyDescent="0.25">
      <c r="A12" s="2" t="s">
        <v>100</v>
      </c>
      <c r="B12" s="2" t="s">
        <v>101</v>
      </c>
      <c r="C12" s="61">
        <v>3347</v>
      </c>
      <c r="D12" s="61">
        <v>3347</v>
      </c>
      <c r="E12" s="61">
        <v>0</v>
      </c>
      <c r="F12" s="61">
        <v>0</v>
      </c>
      <c r="G12" t="b">
        <v>1</v>
      </c>
      <c r="H12" t="b">
        <v>1</v>
      </c>
    </row>
    <row r="13" spans="1:10" x14ac:dyDescent="0.25">
      <c r="A13" s="2" t="s">
        <v>102</v>
      </c>
      <c r="B13" s="2" t="s">
        <v>103</v>
      </c>
      <c r="C13" s="61">
        <v>8187.96</v>
      </c>
      <c r="D13" s="61">
        <v>34302.28</v>
      </c>
      <c r="E13" s="61">
        <v>20650</v>
      </c>
      <c r="F13" s="61">
        <v>123900</v>
      </c>
      <c r="G13" t="b">
        <v>1</v>
      </c>
      <c r="H13" t="b">
        <v>1</v>
      </c>
    </row>
    <row r="14" spans="1:10" x14ac:dyDescent="0.25">
      <c r="A14" s="2" t="s">
        <v>104</v>
      </c>
      <c r="B14" s="2" t="s">
        <v>105</v>
      </c>
      <c r="C14" s="61">
        <v>0</v>
      </c>
      <c r="D14" s="61">
        <v>0</v>
      </c>
      <c r="E14" s="61">
        <v>0</v>
      </c>
      <c r="F14" s="61">
        <v>30000</v>
      </c>
      <c r="G14" t="b">
        <v>1</v>
      </c>
      <c r="H14" t="b">
        <v>1</v>
      </c>
    </row>
    <row r="15" spans="1:10" x14ac:dyDescent="0.25">
      <c r="A15" s="2" t="s">
        <v>106</v>
      </c>
      <c r="B15" s="2" t="s">
        <v>107</v>
      </c>
      <c r="C15" s="61">
        <v>758.35</v>
      </c>
      <c r="D15" s="61">
        <v>1679.25</v>
      </c>
      <c r="E15" s="61">
        <v>3350</v>
      </c>
      <c r="F15" s="61">
        <v>20000</v>
      </c>
      <c r="G15" t="b">
        <v>1</v>
      </c>
      <c r="H15" t="b">
        <v>1</v>
      </c>
    </row>
    <row r="16" spans="1:10" x14ac:dyDescent="0.25">
      <c r="A16" s="2" t="s">
        <v>108</v>
      </c>
      <c r="B16" s="2" t="s">
        <v>109</v>
      </c>
      <c r="C16" s="61">
        <v>0</v>
      </c>
      <c r="D16" s="61">
        <v>-987.64</v>
      </c>
      <c r="E16" s="61">
        <v>0</v>
      </c>
      <c r="F16" s="61">
        <v>0</v>
      </c>
      <c r="G16" t="b">
        <v>1</v>
      </c>
      <c r="H16" t="b">
        <v>1</v>
      </c>
    </row>
    <row r="17" spans="1:8" x14ac:dyDescent="0.25">
      <c r="A17" s="2" t="s">
        <v>110</v>
      </c>
      <c r="B17" s="2" t="s">
        <v>111</v>
      </c>
      <c r="C17" s="61">
        <v>1436.02</v>
      </c>
      <c r="D17" s="61">
        <v>1816.82</v>
      </c>
      <c r="E17" s="61">
        <v>830</v>
      </c>
      <c r="F17" s="61">
        <v>5000</v>
      </c>
      <c r="G17" t="b">
        <v>1</v>
      </c>
      <c r="H17" t="b">
        <v>1</v>
      </c>
    </row>
    <row r="18" spans="1:8" x14ac:dyDescent="0.25">
      <c r="A18" s="2" t="s">
        <v>112</v>
      </c>
      <c r="B18" s="2" t="s">
        <v>113</v>
      </c>
      <c r="C18" s="61">
        <v>49605.36</v>
      </c>
      <c r="D18" s="61">
        <v>49605.36</v>
      </c>
      <c r="E18" s="61">
        <v>830</v>
      </c>
      <c r="F18" s="61">
        <v>5000</v>
      </c>
      <c r="G18" t="b">
        <v>1</v>
      </c>
      <c r="H18" t="b">
        <v>1</v>
      </c>
    </row>
    <row r="19" spans="1:8" x14ac:dyDescent="0.25">
      <c r="A19" s="2" t="s">
        <v>114</v>
      </c>
      <c r="B19" s="2" t="s">
        <v>115</v>
      </c>
      <c r="C19" s="61">
        <v>1970</v>
      </c>
      <c r="D19" s="61">
        <v>1970</v>
      </c>
      <c r="E19" s="61">
        <v>2500</v>
      </c>
      <c r="F19" s="61">
        <v>15000</v>
      </c>
      <c r="G19" t="b">
        <v>1</v>
      </c>
      <c r="H19" t="b">
        <v>1</v>
      </c>
    </row>
    <row r="20" spans="1:8" x14ac:dyDescent="0.25">
      <c r="A20" s="2" t="s">
        <v>116</v>
      </c>
      <c r="B20" s="2" t="s">
        <v>117</v>
      </c>
      <c r="C20" s="61">
        <v>0</v>
      </c>
      <c r="D20" s="61">
        <v>0</v>
      </c>
      <c r="E20" s="61">
        <v>500</v>
      </c>
      <c r="F20" s="61">
        <v>1000</v>
      </c>
      <c r="G20" t="b">
        <v>1</v>
      </c>
      <c r="H20" t="b">
        <v>1</v>
      </c>
    </row>
    <row r="21" spans="1:8" x14ac:dyDescent="0.25">
      <c r="A21" s="2" t="s">
        <v>118</v>
      </c>
      <c r="B21" s="2" t="s">
        <v>119</v>
      </c>
      <c r="C21" s="61">
        <v>35.119999999999997</v>
      </c>
      <c r="D21" s="61">
        <v>249.62</v>
      </c>
      <c r="E21" s="61">
        <v>666</v>
      </c>
      <c r="F21" s="61">
        <v>4000</v>
      </c>
      <c r="G21" t="b">
        <v>1</v>
      </c>
      <c r="H21" t="b">
        <v>1</v>
      </c>
    </row>
    <row r="22" spans="1:8" x14ac:dyDescent="0.25">
      <c r="A22" s="2" t="s">
        <v>120</v>
      </c>
      <c r="B22" s="2" t="s">
        <v>121</v>
      </c>
      <c r="C22" s="61">
        <v>4816.29</v>
      </c>
      <c r="D22" s="61">
        <v>10812.46</v>
      </c>
      <c r="E22" s="61">
        <v>11000</v>
      </c>
      <c r="F22" s="61">
        <v>66000</v>
      </c>
      <c r="G22" t="b">
        <v>1</v>
      </c>
      <c r="H22" t="b">
        <v>1</v>
      </c>
    </row>
    <row r="23" spans="1:8" x14ac:dyDescent="0.25">
      <c r="A23" s="2" t="s">
        <v>122</v>
      </c>
      <c r="B23" s="2" t="s">
        <v>123</v>
      </c>
      <c r="C23" s="61">
        <v>9292.48</v>
      </c>
      <c r="D23" s="61">
        <v>14267.46</v>
      </c>
      <c r="E23" s="61">
        <v>11670</v>
      </c>
      <c r="F23" s="61">
        <v>70000</v>
      </c>
      <c r="G23" t="b">
        <v>1</v>
      </c>
      <c r="H23" t="b">
        <v>1</v>
      </c>
    </row>
    <row r="24" spans="1:8" x14ac:dyDescent="0.25">
      <c r="A24" s="2" t="s">
        <v>124</v>
      </c>
      <c r="B24" s="2" t="s">
        <v>125</v>
      </c>
      <c r="C24" s="61">
        <v>304.60000000000002</v>
      </c>
      <c r="D24" s="61">
        <v>588.05999999999995</v>
      </c>
      <c r="E24" s="61">
        <v>832</v>
      </c>
      <c r="F24" s="61">
        <v>5000</v>
      </c>
      <c r="G24" t="b">
        <v>1</v>
      </c>
      <c r="H24" t="b">
        <v>1</v>
      </c>
    </row>
    <row r="25" spans="1:8" x14ac:dyDescent="0.25">
      <c r="A25" s="2" t="s">
        <v>126</v>
      </c>
      <c r="B25" s="2" t="s">
        <v>127</v>
      </c>
      <c r="C25" s="61">
        <v>786.94</v>
      </c>
      <c r="D25" s="61">
        <v>1201.94</v>
      </c>
      <c r="E25" s="61">
        <v>1166</v>
      </c>
      <c r="F25" s="61">
        <v>7000</v>
      </c>
      <c r="G25" t="b">
        <v>1</v>
      </c>
      <c r="H25" t="b">
        <v>1</v>
      </c>
    </row>
    <row r="26" spans="1:8" x14ac:dyDescent="0.25">
      <c r="A26" s="2" t="s">
        <v>128</v>
      </c>
      <c r="B26" s="2" t="s">
        <v>129</v>
      </c>
      <c r="C26" s="61">
        <v>7136.29</v>
      </c>
      <c r="D26" s="61">
        <v>23723.77</v>
      </c>
      <c r="E26" s="61">
        <v>8333</v>
      </c>
      <c r="F26" s="61">
        <v>50000</v>
      </c>
      <c r="G26" t="b">
        <v>1</v>
      </c>
      <c r="H26" t="b">
        <v>1</v>
      </c>
    </row>
    <row r="27" spans="1:8" x14ac:dyDescent="0.25">
      <c r="A27" s="2" t="s">
        <v>130</v>
      </c>
      <c r="B27" s="2" t="s">
        <v>131</v>
      </c>
      <c r="C27" s="61">
        <v>4244.5</v>
      </c>
      <c r="D27" s="61">
        <v>6269.25</v>
      </c>
      <c r="E27" s="61">
        <v>2500</v>
      </c>
      <c r="F27" s="61">
        <v>15000</v>
      </c>
      <c r="G27" t="b">
        <v>1</v>
      </c>
      <c r="H27" t="b">
        <v>1</v>
      </c>
    </row>
    <row r="28" spans="1:8" x14ac:dyDescent="0.25">
      <c r="A28" s="2" t="s">
        <v>132</v>
      </c>
      <c r="B28" s="2" t="s">
        <v>133</v>
      </c>
      <c r="C28" s="61">
        <v>7051.37</v>
      </c>
      <c r="D28" s="61">
        <v>14677.05</v>
      </c>
      <c r="E28" s="61">
        <v>11666</v>
      </c>
      <c r="F28" s="61">
        <v>70000</v>
      </c>
      <c r="G28" t="b">
        <v>1</v>
      </c>
      <c r="H28" t="b">
        <v>1</v>
      </c>
    </row>
    <row r="29" spans="1:8" x14ac:dyDescent="0.25">
      <c r="A29" s="2" t="s">
        <v>134</v>
      </c>
      <c r="B29" s="2" t="s">
        <v>135</v>
      </c>
      <c r="C29" s="61">
        <v>8521.86</v>
      </c>
      <c r="D29" s="61">
        <v>11770.82</v>
      </c>
      <c r="E29" s="61">
        <v>6333</v>
      </c>
      <c r="F29" s="61">
        <v>38000</v>
      </c>
      <c r="G29" t="b">
        <v>1</v>
      </c>
      <c r="H29" t="b">
        <v>1</v>
      </c>
    </row>
    <row r="30" spans="1:8" x14ac:dyDescent="0.25">
      <c r="A30" s="4" t="s">
        <v>72</v>
      </c>
      <c r="B30" s="4" t="s">
        <v>136</v>
      </c>
      <c r="C30" s="68">
        <f>SUMIF(G1:G29, TRUE, C1:C29)</f>
        <v>135033.63999999998</v>
      </c>
      <c r="D30" s="68">
        <f>SUMIF(G1:G29, TRUE, D1:D29)</f>
        <v>215730.58</v>
      </c>
      <c r="E30" s="68">
        <f>SUMIF(G1:G29, TRUE, E1:E29)</f>
        <v>102186</v>
      </c>
      <c r="F30" s="68">
        <f>SUMIF(G1:G29, TRUE, F1:F29)</f>
        <v>731900</v>
      </c>
      <c r="G30" t="b">
        <v>0</v>
      </c>
      <c r="H30" t="b">
        <v>0</v>
      </c>
    </row>
    <row r="31" spans="1:8" x14ac:dyDescent="0.25">
      <c r="A31" s="2" t="s">
        <v>137</v>
      </c>
      <c r="B31" s="2" t="s">
        <v>138</v>
      </c>
      <c r="C31" s="61">
        <v>0</v>
      </c>
      <c r="D31" s="61">
        <v>0</v>
      </c>
      <c r="E31" s="61">
        <v>0</v>
      </c>
      <c r="F31" s="61">
        <v>0</v>
      </c>
      <c r="G31" t="b">
        <v>0</v>
      </c>
      <c r="H31" t="b">
        <v>1</v>
      </c>
    </row>
    <row r="32" spans="1:8" x14ac:dyDescent="0.25">
      <c r="A32" s="2" t="s">
        <v>139</v>
      </c>
      <c r="B32" s="2" t="s">
        <v>140</v>
      </c>
      <c r="C32" s="61">
        <v>142.41999999999999</v>
      </c>
      <c r="D32" s="61">
        <v>303.70999999999998</v>
      </c>
      <c r="E32" s="61">
        <v>1250</v>
      </c>
      <c r="F32" s="61">
        <v>7500</v>
      </c>
      <c r="G32" t="b">
        <v>1</v>
      </c>
      <c r="H32" t="b">
        <v>1</v>
      </c>
    </row>
    <row r="33" spans="1:8" x14ac:dyDescent="0.25">
      <c r="A33" s="2" t="s">
        <v>141</v>
      </c>
      <c r="B33" s="2" t="s">
        <v>142</v>
      </c>
      <c r="C33" s="61">
        <v>23.25</v>
      </c>
      <c r="D33" s="61">
        <v>2448.25</v>
      </c>
      <c r="E33" s="61">
        <v>0</v>
      </c>
      <c r="F33" s="61">
        <v>0</v>
      </c>
      <c r="G33" t="b">
        <v>1</v>
      </c>
      <c r="H33" t="b">
        <v>1</v>
      </c>
    </row>
    <row r="34" spans="1:8" x14ac:dyDescent="0.25">
      <c r="A34" s="2" t="s">
        <v>143</v>
      </c>
      <c r="B34" s="2" t="s">
        <v>144</v>
      </c>
      <c r="C34" s="61">
        <v>2942.63</v>
      </c>
      <c r="D34" s="61">
        <v>4561.3999999999996</v>
      </c>
      <c r="E34" s="61">
        <v>10000</v>
      </c>
      <c r="F34" s="61">
        <v>60000</v>
      </c>
      <c r="G34" t="b">
        <v>1</v>
      </c>
      <c r="H34" t="b">
        <v>1</v>
      </c>
    </row>
    <row r="35" spans="1:8" x14ac:dyDescent="0.25">
      <c r="A35" s="2" t="s">
        <v>145</v>
      </c>
      <c r="B35" s="2" t="s">
        <v>146</v>
      </c>
      <c r="C35" s="61">
        <v>1937.93</v>
      </c>
      <c r="D35" s="61">
        <v>2916.94</v>
      </c>
      <c r="E35" s="61">
        <v>3333</v>
      </c>
      <c r="F35" s="61">
        <v>20000</v>
      </c>
      <c r="G35" t="b">
        <v>1</v>
      </c>
      <c r="H35" t="b">
        <v>1</v>
      </c>
    </row>
    <row r="36" spans="1:8" x14ac:dyDescent="0.25">
      <c r="A36" s="2" t="s">
        <v>147</v>
      </c>
      <c r="B36" s="2" t="s">
        <v>148</v>
      </c>
      <c r="C36" s="61">
        <v>10290.69</v>
      </c>
      <c r="D36" s="61">
        <v>11925.56</v>
      </c>
      <c r="E36" s="61">
        <v>1666</v>
      </c>
      <c r="F36" s="61">
        <v>10000</v>
      </c>
      <c r="G36" t="b">
        <v>1</v>
      </c>
      <c r="H36" t="b">
        <v>1</v>
      </c>
    </row>
    <row r="37" spans="1:8" x14ac:dyDescent="0.25">
      <c r="A37" s="2" t="s">
        <v>149</v>
      </c>
      <c r="B37" s="2" t="s">
        <v>150</v>
      </c>
      <c r="C37" s="61">
        <v>0</v>
      </c>
      <c r="D37" s="61">
        <v>836.33</v>
      </c>
      <c r="E37" s="61">
        <v>0</v>
      </c>
      <c r="F37" s="61">
        <v>0</v>
      </c>
      <c r="G37" t="b">
        <v>1</v>
      </c>
      <c r="H37" t="b">
        <v>1</v>
      </c>
    </row>
    <row r="38" spans="1:8" x14ac:dyDescent="0.25">
      <c r="A38" s="2" t="s">
        <v>151</v>
      </c>
      <c r="B38" s="2" t="s">
        <v>152</v>
      </c>
      <c r="C38" s="61">
        <v>0</v>
      </c>
      <c r="D38" s="61">
        <v>1078.75</v>
      </c>
      <c r="E38" s="61">
        <v>0</v>
      </c>
      <c r="F38" s="61">
        <v>0</v>
      </c>
      <c r="G38" t="b">
        <v>1</v>
      </c>
      <c r="H38" t="b">
        <v>1</v>
      </c>
    </row>
    <row r="39" spans="1:8" x14ac:dyDescent="0.25">
      <c r="A39" s="2" t="s">
        <v>153</v>
      </c>
      <c r="B39" s="2" t="s">
        <v>154</v>
      </c>
      <c r="C39" s="61">
        <v>255760.7</v>
      </c>
      <c r="D39" s="61">
        <v>255868.21</v>
      </c>
      <c r="E39" s="61">
        <v>0</v>
      </c>
      <c r="F39" s="61">
        <v>0</v>
      </c>
      <c r="G39" t="b">
        <v>1</v>
      </c>
      <c r="H39" t="b">
        <v>1</v>
      </c>
    </row>
    <row r="40" spans="1:8" x14ac:dyDescent="0.25">
      <c r="A40" s="4" t="s">
        <v>72</v>
      </c>
      <c r="B40" s="4" t="s">
        <v>136</v>
      </c>
      <c r="C40" s="68">
        <f>SUMIF(G31:G39, TRUE, C31:C39)</f>
        <v>271097.62</v>
      </c>
      <c r="D40" s="68">
        <f>SUMIF(G31:G39, TRUE, D31:D39)</f>
        <v>279939.15000000002</v>
      </c>
      <c r="E40" s="68">
        <f>SUMIF(G31:G39, TRUE, E31:E39)</f>
        <v>16249</v>
      </c>
      <c r="F40" s="68">
        <f>SUMIF(G31:G39, TRUE, F31:F39)</f>
        <v>97500</v>
      </c>
      <c r="G40" t="b">
        <v>0</v>
      </c>
      <c r="H40" t="b">
        <v>0</v>
      </c>
    </row>
    <row r="41" spans="1:8" x14ac:dyDescent="0.25">
      <c r="A41" s="2" t="s">
        <v>155</v>
      </c>
      <c r="B41" s="2" t="s">
        <v>156</v>
      </c>
      <c r="C41" s="61">
        <v>0</v>
      </c>
      <c r="D41" s="61">
        <v>0</v>
      </c>
      <c r="E41" s="61">
        <v>0</v>
      </c>
      <c r="F41" s="61">
        <v>0</v>
      </c>
      <c r="G41" t="b">
        <v>0</v>
      </c>
      <c r="H41" t="b">
        <v>1</v>
      </c>
    </row>
    <row r="42" spans="1:8" x14ac:dyDescent="0.25">
      <c r="A42" s="2" t="s">
        <v>157</v>
      </c>
      <c r="B42" s="2" t="s">
        <v>158</v>
      </c>
      <c r="C42" s="61">
        <v>0</v>
      </c>
      <c r="D42" s="61">
        <v>0</v>
      </c>
      <c r="E42" s="61">
        <v>0</v>
      </c>
      <c r="F42" s="61">
        <v>0</v>
      </c>
      <c r="G42" t="b">
        <v>0</v>
      </c>
      <c r="H42" t="b">
        <v>1</v>
      </c>
    </row>
    <row r="43" spans="1:8" x14ac:dyDescent="0.25">
      <c r="A43" s="2" t="s">
        <v>159</v>
      </c>
      <c r="B43" s="2" t="s">
        <v>160</v>
      </c>
      <c r="C43" s="61">
        <v>47211.3</v>
      </c>
      <c r="D43" s="61">
        <v>77110.649999999994</v>
      </c>
      <c r="E43" s="61">
        <v>62572</v>
      </c>
      <c r="F43" s="61">
        <v>406712</v>
      </c>
      <c r="G43" t="b">
        <v>1</v>
      </c>
      <c r="H43" t="b">
        <v>1</v>
      </c>
    </row>
    <row r="44" spans="1:8" x14ac:dyDescent="0.25">
      <c r="A44" s="2" t="s">
        <v>161</v>
      </c>
      <c r="B44" s="2" t="s">
        <v>162</v>
      </c>
      <c r="C44" s="61">
        <v>3265.3</v>
      </c>
      <c r="D44" s="61">
        <v>4159.5</v>
      </c>
      <c r="E44" s="61">
        <v>1330</v>
      </c>
      <c r="F44" s="61">
        <v>8650</v>
      </c>
      <c r="G44" t="b">
        <v>1</v>
      </c>
      <c r="H44" t="b">
        <v>1</v>
      </c>
    </row>
    <row r="45" spans="1:8" x14ac:dyDescent="0.25">
      <c r="A45" s="2" t="s">
        <v>163</v>
      </c>
      <c r="B45" s="2" t="s">
        <v>164</v>
      </c>
      <c r="C45" s="61">
        <v>4113.58</v>
      </c>
      <c r="D45" s="61">
        <v>6835.62</v>
      </c>
      <c r="E45" s="61">
        <v>5400</v>
      </c>
      <c r="F45" s="61">
        <v>35098</v>
      </c>
      <c r="G45" t="b">
        <v>1</v>
      </c>
      <c r="H45" t="b">
        <v>1</v>
      </c>
    </row>
    <row r="46" spans="1:8" x14ac:dyDescent="0.25">
      <c r="A46" s="2" t="s">
        <v>165</v>
      </c>
      <c r="B46" s="2" t="s">
        <v>166</v>
      </c>
      <c r="C46" s="61">
        <v>14458.45</v>
      </c>
      <c r="D46" s="61">
        <v>21700.77</v>
      </c>
      <c r="E46" s="61">
        <v>15152</v>
      </c>
      <c r="F46" s="61">
        <v>90912</v>
      </c>
      <c r="G46" t="b">
        <v>1</v>
      </c>
      <c r="H46" t="b">
        <v>1</v>
      </c>
    </row>
    <row r="47" spans="1:8" x14ac:dyDescent="0.25">
      <c r="A47" s="2" t="s">
        <v>167</v>
      </c>
      <c r="B47" s="2" t="s">
        <v>168</v>
      </c>
      <c r="C47" s="61">
        <v>592.88</v>
      </c>
      <c r="D47" s="61">
        <v>977.86</v>
      </c>
      <c r="E47" s="61">
        <v>680</v>
      </c>
      <c r="F47" s="61">
        <v>4419</v>
      </c>
      <c r="G47" t="b">
        <v>1</v>
      </c>
      <c r="H47" t="b">
        <v>1</v>
      </c>
    </row>
    <row r="48" spans="1:8" x14ac:dyDescent="0.25">
      <c r="A48" s="2" t="s">
        <v>169</v>
      </c>
      <c r="B48" s="2" t="s">
        <v>170</v>
      </c>
      <c r="C48" s="61">
        <v>0</v>
      </c>
      <c r="D48" s="61">
        <v>36.799999999999997</v>
      </c>
      <c r="E48" s="61">
        <v>83</v>
      </c>
      <c r="F48" s="61">
        <v>500</v>
      </c>
      <c r="G48" t="b">
        <v>1</v>
      </c>
      <c r="H48" t="b">
        <v>1</v>
      </c>
    </row>
    <row r="49" spans="1:8" x14ac:dyDescent="0.25">
      <c r="A49" s="2" t="s">
        <v>171</v>
      </c>
      <c r="B49" s="2" t="s">
        <v>172</v>
      </c>
      <c r="C49" s="61">
        <v>36.04</v>
      </c>
      <c r="D49" s="61">
        <v>72.08</v>
      </c>
      <c r="E49" s="61">
        <v>84</v>
      </c>
      <c r="F49" s="61">
        <v>541</v>
      </c>
      <c r="G49" t="b">
        <v>1</v>
      </c>
      <c r="H49" t="b">
        <v>1</v>
      </c>
    </row>
    <row r="50" spans="1:8" x14ac:dyDescent="0.25">
      <c r="A50" s="4" t="s">
        <v>72</v>
      </c>
      <c r="B50" s="4" t="s">
        <v>136</v>
      </c>
      <c r="C50" s="68">
        <f>SUMIF(G41:G49, TRUE, C41:C49)</f>
        <v>69677.55</v>
      </c>
      <c r="D50" s="68">
        <f>SUMIF(G41:G49, TRUE, D41:D49)</f>
        <v>110893.28</v>
      </c>
      <c r="E50" s="68">
        <f>SUMIF(G41:G49, TRUE, E41:E49)</f>
        <v>85301</v>
      </c>
      <c r="F50" s="68">
        <f>SUMIF(G41:G49, TRUE, F41:F49)</f>
        <v>546832</v>
      </c>
      <c r="G50" t="b">
        <v>0</v>
      </c>
      <c r="H50" t="b">
        <v>0</v>
      </c>
    </row>
    <row r="51" spans="1:8" x14ac:dyDescent="0.25">
      <c r="A51" s="2" t="s">
        <v>173</v>
      </c>
      <c r="B51" s="2" t="s">
        <v>174</v>
      </c>
      <c r="C51" s="61">
        <v>0</v>
      </c>
      <c r="D51" s="61">
        <v>0</v>
      </c>
      <c r="E51" s="61">
        <v>0</v>
      </c>
      <c r="F51" s="61">
        <v>0</v>
      </c>
      <c r="G51" t="b">
        <v>0</v>
      </c>
      <c r="H51" t="b">
        <v>1</v>
      </c>
    </row>
    <row r="52" spans="1:8" x14ac:dyDescent="0.25">
      <c r="A52" s="2" t="s">
        <v>175</v>
      </c>
      <c r="B52" s="2" t="s">
        <v>160</v>
      </c>
      <c r="C52" s="61">
        <v>0</v>
      </c>
      <c r="D52" s="61">
        <v>0</v>
      </c>
      <c r="E52" s="61">
        <v>500</v>
      </c>
      <c r="F52" s="61">
        <v>5000</v>
      </c>
      <c r="G52" t="b">
        <v>1</v>
      </c>
      <c r="H52" t="b">
        <v>1</v>
      </c>
    </row>
    <row r="53" spans="1:8" x14ac:dyDescent="0.25">
      <c r="A53" s="2" t="s">
        <v>176</v>
      </c>
      <c r="B53" s="2" t="s">
        <v>164</v>
      </c>
      <c r="C53" s="61">
        <v>0</v>
      </c>
      <c r="D53" s="61">
        <v>0</v>
      </c>
      <c r="E53" s="61">
        <v>45</v>
      </c>
      <c r="F53" s="61">
        <v>450</v>
      </c>
      <c r="G53" t="b">
        <v>1</v>
      </c>
      <c r="H53" t="b">
        <v>1</v>
      </c>
    </row>
    <row r="54" spans="1:8" x14ac:dyDescent="0.25">
      <c r="A54" s="2" t="s">
        <v>177</v>
      </c>
      <c r="B54" s="2" t="s">
        <v>172</v>
      </c>
      <c r="C54" s="61">
        <v>0.45</v>
      </c>
      <c r="D54" s="61">
        <v>0.9</v>
      </c>
      <c r="E54" s="61">
        <v>2</v>
      </c>
      <c r="F54" s="61">
        <v>15</v>
      </c>
      <c r="G54" t="b">
        <v>1</v>
      </c>
      <c r="H54" t="b">
        <v>1</v>
      </c>
    </row>
    <row r="55" spans="1:8" x14ac:dyDescent="0.25">
      <c r="A55" s="4" t="s">
        <v>72</v>
      </c>
      <c r="B55" s="4" t="s">
        <v>136</v>
      </c>
      <c r="C55" s="68">
        <f>SUMIF(G51:G54, TRUE, C51:C54)</f>
        <v>0.45</v>
      </c>
      <c r="D55" s="68">
        <f>SUMIF(G51:G54, TRUE, D51:D54)</f>
        <v>0.9</v>
      </c>
      <c r="E55" s="68">
        <f>SUMIF(G51:G54, TRUE, E51:E54)</f>
        <v>547</v>
      </c>
      <c r="F55" s="68">
        <f>SUMIF(G51:G54, TRUE, F51:F54)</f>
        <v>5465</v>
      </c>
      <c r="G55" t="b">
        <v>0</v>
      </c>
      <c r="H55" t="b">
        <v>0</v>
      </c>
    </row>
    <row r="56" spans="1:8" x14ac:dyDescent="0.25">
      <c r="A56" s="2" t="s">
        <v>178</v>
      </c>
      <c r="B56" s="2" t="s">
        <v>179</v>
      </c>
      <c r="C56" s="61">
        <v>0</v>
      </c>
      <c r="D56" s="61">
        <v>0</v>
      </c>
      <c r="E56" s="61">
        <v>0</v>
      </c>
      <c r="F56" s="61">
        <v>0</v>
      </c>
      <c r="G56" t="b">
        <v>0</v>
      </c>
      <c r="H56" t="b">
        <v>1</v>
      </c>
    </row>
    <row r="57" spans="1:8" x14ac:dyDescent="0.25">
      <c r="A57" s="2" t="s">
        <v>180</v>
      </c>
      <c r="B57" s="2" t="s">
        <v>181</v>
      </c>
      <c r="C57" s="61">
        <v>0</v>
      </c>
      <c r="D57" s="61">
        <v>0</v>
      </c>
      <c r="E57" s="61">
        <v>0</v>
      </c>
      <c r="F57" s="61">
        <v>0</v>
      </c>
      <c r="G57" t="b">
        <v>0</v>
      </c>
      <c r="H57" t="b">
        <v>1</v>
      </c>
    </row>
    <row r="58" spans="1:8" x14ac:dyDescent="0.25">
      <c r="A58" s="2" t="s">
        <v>182</v>
      </c>
      <c r="B58" s="2" t="s">
        <v>138</v>
      </c>
      <c r="C58" s="61">
        <v>0</v>
      </c>
      <c r="D58" s="61">
        <v>0</v>
      </c>
      <c r="E58" s="61">
        <v>0</v>
      </c>
      <c r="F58" s="61">
        <v>0</v>
      </c>
      <c r="G58" t="b">
        <v>0</v>
      </c>
      <c r="H58" t="b">
        <v>1</v>
      </c>
    </row>
    <row r="59" spans="1:8" x14ac:dyDescent="0.25">
      <c r="A59" s="2" t="s">
        <v>183</v>
      </c>
      <c r="B59" s="2" t="s">
        <v>184</v>
      </c>
      <c r="C59" s="61">
        <v>6479.09</v>
      </c>
      <c r="D59" s="61">
        <v>12958.18</v>
      </c>
      <c r="E59" s="61">
        <v>11665</v>
      </c>
      <c r="F59" s="61">
        <v>70000</v>
      </c>
      <c r="G59" t="b">
        <v>1</v>
      </c>
      <c r="H59" t="b">
        <v>1</v>
      </c>
    </row>
    <row r="60" spans="1:8" x14ac:dyDescent="0.25">
      <c r="A60" s="2" t="s">
        <v>185</v>
      </c>
      <c r="B60" s="2" t="s">
        <v>186</v>
      </c>
      <c r="C60" s="61">
        <v>0</v>
      </c>
      <c r="D60" s="61">
        <v>0</v>
      </c>
      <c r="E60" s="61">
        <v>1250</v>
      </c>
      <c r="F60" s="61">
        <v>7500</v>
      </c>
      <c r="G60" t="b">
        <v>1</v>
      </c>
      <c r="H60" t="b">
        <v>1</v>
      </c>
    </row>
    <row r="61" spans="1:8" x14ac:dyDescent="0.25">
      <c r="A61" s="2" t="s">
        <v>187</v>
      </c>
      <c r="B61" s="2" t="s">
        <v>61</v>
      </c>
      <c r="C61" s="61">
        <v>2136.6799999999998</v>
      </c>
      <c r="D61" s="61">
        <v>2136.6799999999998</v>
      </c>
      <c r="E61" s="61">
        <v>832</v>
      </c>
      <c r="F61" s="61">
        <v>5000</v>
      </c>
      <c r="G61" t="b">
        <v>1</v>
      </c>
      <c r="H61" t="b">
        <v>1</v>
      </c>
    </row>
    <row r="62" spans="1:8" x14ac:dyDescent="0.25">
      <c r="A62" s="2" t="s">
        <v>188</v>
      </c>
      <c r="B62" s="2" t="s">
        <v>189</v>
      </c>
      <c r="C62" s="61">
        <v>1076489.67</v>
      </c>
      <c r="D62" s="61">
        <v>2036163.84</v>
      </c>
      <c r="E62" s="61">
        <v>0</v>
      </c>
      <c r="F62" s="61">
        <v>0</v>
      </c>
      <c r="G62" t="b">
        <v>1</v>
      </c>
      <c r="H62" t="b">
        <v>1</v>
      </c>
    </row>
    <row r="63" spans="1:8" x14ac:dyDescent="0.25">
      <c r="A63" s="4" t="s">
        <v>72</v>
      </c>
      <c r="B63" s="4" t="s">
        <v>136</v>
      </c>
      <c r="C63" s="68">
        <f>SUMIF(G56:G62, TRUE, C56:C62)</f>
        <v>1085105.44</v>
      </c>
      <c r="D63" s="68">
        <f>SUMIF(G56:G62, TRUE, D56:D62)</f>
        <v>2051258.7000000002</v>
      </c>
      <c r="E63" s="68">
        <f>SUMIF(G56:G62, TRUE, E56:E62)</f>
        <v>13747</v>
      </c>
      <c r="F63" s="68">
        <f>SUMIF(G56:G62, TRUE, F56:F62)</f>
        <v>82500</v>
      </c>
      <c r="G63" t="b">
        <v>0</v>
      </c>
      <c r="H63" t="b">
        <v>0</v>
      </c>
    </row>
    <row r="64" spans="1:8" x14ac:dyDescent="0.25">
      <c r="A64" s="2" t="s">
        <v>190</v>
      </c>
      <c r="B64" s="2" t="s">
        <v>191</v>
      </c>
      <c r="C64" s="61">
        <v>0</v>
      </c>
      <c r="D64" s="61">
        <v>0</v>
      </c>
      <c r="E64" s="61">
        <v>0</v>
      </c>
      <c r="F64" s="61">
        <v>0</v>
      </c>
      <c r="G64" t="b">
        <v>0</v>
      </c>
      <c r="H64" t="b">
        <v>1</v>
      </c>
    </row>
    <row r="65" spans="1:8" x14ac:dyDescent="0.25">
      <c r="A65" s="2" t="s">
        <v>192</v>
      </c>
      <c r="B65" s="2" t="s">
        <v>158</v>
      </c>
      <c r="C65" s="61">
        <v>0</v>
      </c>
      <c r="D65" s="61">
        <v>0</v>
      </c>
      <c r="E65" s="61">
        <v>0</v>
      </c>
      <c r="F65" s="61">
        <v>0</v>
      </c>
      <c r="G65" t="b">
        <v>0</v>
      </c>
      <c r="H65" t="b">
        <v>1</v>
      </c>
    </row>
    <row r="66" spans="1:8" x14ac:dyDescent="0.25">
      <c r="A66" s="2" t="s">
        <v>193</v>
      </c>
      <c r="B66" s="2" t="s">
        <v>160</v>
      </c>
      <c r="C66" s="61">
        <v>125621.14</v>
      </c>
      <c r="D66" s="61">
        <v>207773.58</v>
      </c>
      <c r="E66" s="61">
        <v>172692</v>
      </c>
      <c r="F66" s="61">
        <v>1122499</v>
      </c>
      <c r="G66" t="b">
        <v>1</v>
      </c>
      <c r="H66" t="b">
        <v>1</v>
      </c>
    </row>
    <row r="67" spans="1:8" x14ac:dyDescent="0.25">
      <c r="A67" s="2" t="s">
        <v>194</v>
      </c>
      <c r="B67" s="2" t="s">
        <v>162</v>
      </c>
      <c r="C67" s="61">
        <v>20045</v>
      </c>
      <c r="D67" s="61">
        <v>43077.07</v>
      </c>
      <c r="E67" s="61">
        <v>23210</v>
      </c>
      <c r="F67" s="61">
        <v>150872</v>
      </c>
      <c r="G67" t="b">
        <v>1</v>
      </c>
      <c r="H67" t="b">
        <v>1</v>
      </c>
    </row>
    <row r="68" spans="1:8" x14ac:dyDescent="0.25">
      <c r="A68" s="2" t="s">
        <v>195</v>
      </c>
      <c r="B68" s="2" t="s">
        <v>196</v>
      </c>
      <c r="C68" s="61">
        <v>1020</v>
      </c>
      <c r="D68" s="61">
        <v>3660</v>
      </c>
      <c r="E68" s="61">
        <v>12832</v>
      </c>
      <c r="F68" s="61">
        <v>80200</v>
      </c>
      <c r="G68" t="b">
        <v>1</v>
      </c>
      <c r="H68" t="b">
        <v>1</v>
      </c>
    </row>
    <row r="69" spans="1:8" x14ac:dyDescent="0.25">
      <c r="A69" s="2" t="s">
        <v>197</v>
      </c>
      <c r="B69" s="2" t="s">
        <v>198</v>
      </c>
      <c r="C69" s="61">
        <v>0</v>
      </c>
      <c r="D69" s="61">
        <v>0</v>
      </c>
      <c r="E69" s="61">
        <v>12680</v>
      </c>
      <c r="F69" s="61">
        <v>79250</v>
      </c>
      <c r="G69" t="b">
        <v>1</v>
      </c>
      <c r="H69" t="b">
        <v>1</v>
      </c>
    </row>
    <row r="70" spans="1:8" x14ac:dyDescent="0.25">
      <c r="A70" s="2" t="s">
        <v>199</v>
      </c>
      <c r="B70" s="2" t="s">
        <v>200</v>
      </c>
      <c r="C70" s="61">
        <v>324.2</v>
      </c>
      <c r="D70" s="61">
        <v>4292.7299999999996</v>
      </c>
      <c r="E70" s="61">
        <v>2500</v>
      </c>
      <c r="F70" s="61">
        <v>15000</v>
      </c>
      <c r="G70" t="b">
        <v>1</v>
      </c>
      <c r="H70" t="b">
        <v>1</v>
      </c>
    </row>
    <row r="71" spans="1:8" x14ac:dyDescent="0.25">
      <c r="A71" s="2" t="s">
        <v>201</v>
      </c>
      <c r="B71" s="2" t="s">
        <v>164</v>
      </c>
      <c r="C71" s="61">
        <v>11980.24</v>
      </c>
      <c r="D71" s="61">
        <v>21018.35</v>
      </c>
      <c r="E71" s="61">
        <v>18790</v>
      </c>
      <c r="F71" s="61">
        <v>122131</v>
      </c>
      <c r="G71" t="b">
        <v>1</v>
      </c>
      <c r="H71" t="b">
        <v>1</v>
      </c>
    </row>
    <row r="72" spans="1:8" x14ac:dyDescent="0.25">
      <c r="A72" s="2" t="s">
        <v>202</v>
      </c>
      <c r="B72" s="2" t="s">
        <v>166</v>
      </c>
      <c r="C72" s="61">
        <v>63081.36</v>
      </c>
      <c r="D72" s="61">
        <v>93195</v>
      </c>
      <c r="E72" s="61">
        <v>57924</v>
      </c>
      <c r="F72" s="61">
        <v>376502</v>
      </c>
      <c r="G72" t="b">
        <v>1</v>
      </c>
      <c r="H72" t="b">
        <v>1</v>
      </c>
    </row>
    <row r="73" spans="1:8" x14ac:dyDescent="0.25">
      <c r="A73" s="2" t="s">
        <v>203</v>
      </c>
      <c r="B73" s="2" t="s">
        <v>168</v>
      </c>
      <c r="C73" s="61">
        <v>37223.68</v>
      </c>
      <c r="D73" s="61">
        <v>49354.21</v>
      </c>
      <c r="E73" s="61">
        <v>28884</v>
      </c>
      <c r="F73" s="61">
        <v>187744</v>
      </c>
      <c r="G73" t="b">
        <v>1</v>
      </c>
      <c r="H73" t="b">
        <v>1</v>
      </c>
    </row>
    <row r="74" spans="1:8" x14ac:dyDescent="0.25">
      <c r="A74" s="2" t="s">
        <v>204</v>
      </c>
      <c r="B74" s="2" t="s">
        <v>170</v>
      </c>
      <c r="C74" s="61">
        <v>5121.91</v>
      </c>
      <c r="D74" s="61">
        <v>6983.27</v>
      </c>
      <c r="E74" s="61">
        <v>2500</v>
      </c>
      <c r="F74" s="61">
        <v>15000</v>
      </c>
      <c r="G74" t="b">
        <v>1</v>
      </c>
      <c r="H74" t="b">
        <v>1</v>
      </c>
    </row>
    <row r="75" spans="1:8" x14ac:dyDescent="0.25">
      <c r="A75" s="2" t="s">
        <v>205</v>
      </c>
      <c r="B75" s="2" t="s">
        <v>172</v>
      </c>
      <c r="C75" s="61">
        <v>3827.6</v>
      </c>
      <c r="D75" s="61">
        <v>7655.2</v>
      </c>
      <c r="E75" s="61">
        <v>7596</v>
      </c>
      <c r="F75" s="61">
        <v>49371</v>
      </c>
      <c r="G75" t="b">
        <v>1</v>
      </c>
      <c r="H75" t="b">
        <v>1</v>
      </c>
    </row>
    <row r="76" spans="1:8" x14ac:dyDescent="0.25">
      <c r="A76" s="4" t="s">
        <v>72</v>
      </c>
      <c r="B76" s="4" t="s">
        <v>136</v>
      </c>
      <c r="C76" s="68">
        <f>SUMIF(G64:G75, TRUE, C64:C75)</f>
        <v>268245.12999999995</v>
      </c>
      <c r="D76" s="68">
        <f>SUMIF(G64:G75, TRUE, D64:D75)</f>
        <v>437009.41000000003</v>
      </c>
      <c r="E76" s="68">
        <f>SUMIF(G64:G75, TRUE, E64:E75)</f>
        <v>339608</v>
      </c>
      <c r="F76" s="68">
        <f>SUMIF(G64:G75, TRUE, F64:F75)</f>
        <v>2198569</v>
      </c>
      <c r="G76" t="b">
        <v>0</v>
      </c>
      <c r="H76" t="b">
        <v>0</v>
      </c>
    </row>
    <row r="77" spans="1:8" x14ac:dyDescent="0.25">
      <c r="A77" s="2" t="s">
        <v>206</v>
      </c>
      <c r="B77" s="2" t="s">
        <v>207</v>
      </c>
      <c r="C77" s="61">
        <v>0</v>
      </c>
      <c r="D77" s="61">
        <v>0</v>
      </c>
      <c r="E77" s="61">
        <v>0</v>
      </c>
      <c r="F77" s="61">
        <v>0</v>
      </c>
      <c r="G77" t="b">
        <v>0</v>
      </c>
      <c r="H77" t="b">
        <v>1</v>
      </c>
    </row>
    <row r="78" spans="1:8" x14ac:dyDescent="0.25">
      <c r="A78" s="2" t="s">
        <v>208</v>
      </c>
      <c r="B78" s="2" t="s">
        <v>160</v>
      </c>
      <c r="C78" s="61">
        <v>48771.64</v>
      </c>
      <c r="D78" s="61">
        <v>71466.259999999995</v>
      </c>
      <c r="E78" s="61">
        <v>47776</v>
      </c>
      <c r="F78" s="61">
        <v>310549</v>
      </c>
      <c r="G78" t="b">
        <v>1</v>
      </c>
      <c r="H78" t="b">
        <v>1</v>
      </c>
    </row>
    <row r="79" spans="1:8" x14ac:dyDescent="0.25">
      <c r="A79" s="2" t="s">
        <v>209</v>
      </c>
      <c r="B79" s="2" t="s">
        <v>162</v>
      </c>
      <c r="C79" s="61">
        <v>4370.37</v>
      </c>
      <c r="D79" s="61">
        <v>7814.98</v>
      </c>
      <c r="E79" s="61">
        <v>6854</v>
      </c>
      <c r="F79" s="61">
        <v>44549</v>
      </c>
      <c r="G79" t="b">
        <v>1</v>
      </c>
      <c r="H79" t="b">
        <v>1</v>
      </c>
    </row>
    <row r="80" spans="1:8" x14ac:dyDescent="0.25">
      <c r="A80" s="2" t="s">
        <v>210</v>
      </c>
      <c r="B80" s="2" t="s">
        <v>164</v>
      </c>
      <c r="C80" s="61">
        <v>4329.09</v>
      </c>
      <c r="D80" s="61">
        <v>6410.28</v>
      </c>
      <c r="E80" s="61">
        <v>4616</v>
      </c>
      <c r="F80" s="61">
        <v>30006</v>
      </c>
      <c r="G80" t="b">
        <v>1</v>
      </c>
      <c r="H80" t="b">
        <v>1</v>
      </c>
    </row>
    <row r="81" spans="1:8" x14ac:dyDescent="0.25">
      <c r="A81" s="2" t="s">
        <v>211</v>
      </c>
      <c r="B81" s="2" t="s">
        <v>166</v>
      </c>
      <c r="C81" s="61">
        <v>18413.099999999999</v>
      </c>
      <c r="D81" s="61">
        <v>31179.49</v>
      </c>
      <c r="E81" s="61">
        <v>26744</v>
      </c>
      <c r="F81" s="61">
        <v>160457</v>
      </c>
      <c r="G81" t="b">
        <v>1</v>
      </c>
      <c r="H81" t="b">
        <v>1</v>
      </c>
    </row>
    <row r="82" spans="1:8" x14ac:dyDescent="0.25">
      <c r="A82" s="2" t="s">
        <v>212</v>
      </c>
      <c r="B82" s="2" t="s">
        <v>168</v>
      </c>
      <c r="C82" s="61">
        <v>1287.3699999999999</v>
      </c>
      <c r="D82" s="61">
        <v>1848.04</v>
      </c>
      <c r="E82" s="61">
        <v>1224</v>
      </c>
      <c r="F82" s="61">
        <v>7954</v>
      </c>
      <c r="G82" t="b">
        <v>1</v>
      </c>
      <c r="H82" t="b">
        <v>1</v>
      </c>
    </row>
    <row r="83" spans="1:8" x14ac:dyDescent="0.25">
      <c r="A83" s="2" t="s">
        <v>213</v>
      </c>
      <c r="B83" s="2" t="s">
        <v>170</v>
      </c>
      <c r="C83" s="61">
        <v>0</v>
      </c>
      <c r="D83" s="61">
        <v>80</v>
      </c>
      <c r="E83" s="61">
        <v>334</v>
      </c>
      <c r="F83" s="61">
        <v>2000</v>
      </c>
      <c r="G83" t="b">
        <v>1</v>
      </c>
      <c r="H83" t="b">
        <v>1</v>
      </c>
    </row>
    <row r="84" spans="1:8" x14ac:dyDescent="0.25">
      <c r="A84" s="2" t="s">
        <v>214</v>
      </c>
      <c r="B84" s="2" t="s">
        <v>172</v>
      </c>
      <c r="C84" s="61">
        <v>31.75</v>
      </c>
      <c r="D84" s="61">
        <v>63.5</v>
      </c>
      <c r="E84" s="61">
        <v>71</v>
      </c>
      <c r="F84" s="61">
        <v>462</v>
      </c>
      <c r="G84" t="b">
        <v>1</v>
      </c>
      <c r="H84" t="b">
        <v>1</v>
      </c>
    </row>
    <row r="85" spans="1:8" x14ac:dyDescent="0.25">
      <c r="A85" s="4" t="s">
        <v>72</v>
      </c>
      <c r="B85" s="4" t="s">
        <v>136</v>
      </c>
      <c r="C85" s="68">
        <f>SUMIF(G77:G84, TRUE, C77:C84)</f>
        <v>77203.320000000007</v>
      </c>
      <c r="D85" s="68">
        <f>SUMIF(G77:G84, TRUE, D77:D84)</f>
        <v>118862.54999999999</v>
      </c>
      <c r="E85" s="68">
        <f>SUMIF(G77:G84, TRUE, E77:E84)</f>
        <v>87619</v>
      </c>
      <c r="F85" s="68">
        <f>SUMIF(G77:G84, TRUE, F77:F84)</f>
        <v>555977</v>
      </c>
      <c r="G85" t="b">
        <v>0</v>
      </c>
      <c r="H85" t="b">
        <v>0</v>
      </c>
    </row>
    <row r="86" spans="1:8" x14ac:dyDescent="0.25">
      <c r="A86" s="2" t="s">
        <v>215</v>
      </c>
      <c r="B86" s="2" t="s">
        <v>174</v>
      </c>
      <c r="C86" s="61">
        <v>0</v>
      </c>
      <c r="D86" s="61">
        <v>0</v>
      </c>
      <c r="E86" s="61">
        <v>0</v>
      </c>
      <c r="F86" s="61">
        <v>0</v>
      </c>
      <c r="G86" t="b">
        <v>0</v>
      </c>
      <c r="H86" t="b">
        <v>1</v>
      </c>
    </row>
    <row r="87" spans="1:8" x14ac:dyDescent="0.25">
      <c r="A87" s="2" t="s">
        <v>216</v>
      </c>
      <c r="B87" s="2" t="s">
        <v>160</v>
      </c>
      <c r="C87" s="61">
        <v>36207.75</v>
      </c>
      <c r="D87" s="61">
        <v>46495.75</v>
      </c>
      <c r="E87" s="61">
        <v>34300</v>
      </c>
      <c r="F87" s="61">
        <v>171500</v>
      </c>
      <c r="G87" t="b">
        <v>1</v>
      </c>
      <c r="H87" t="b">
        <v>1</v>
      </c>
    </row>
    <row r="88" spans="1:8" x14ac:dyDescent="0.25">
      <c r="A88" s="2" t="s">
        <v>217</v>
      </c>
      <c r="B88" s="2" t="s">
        <v>162</v>
      </c>
      <c r="C88" s="61">
        <v>0</v>
      </c>
      <c r="D88" s="61">
        <v>0</v>
      </c>
      <c r="E88" s="61">
        <v>1399</v>
      </c>
      <c r="F88" s="61">
        <v>7000</v>
      </c>
      <c r="G88" t="b">
        <v>1</v>
      </c>
      <c r="H88" t="b">
        <v>1</v>
      </c>
    </row>
    <row r="89" spans="1:8" x14ac:dyDescent="0.25">
      <c r="A89" s="2" t="s">
        <v>218</v>
      </c>
      <c r="B89" s="2" t="s">
        <v>164</v>
      </c>
      <c r="C89" s="61">
        <v>3051.36</v>
      </c>
      <c r="D89" s="61">
        <v>3907.76</v>
      </c>
      <c r="E89" s="61">
        <v>3210</v>
      </c>
      <c r="F89" s="61">
        <v>16065</v>
      </c>
      <c r="G89" t="b">
        <v>1</v>
      </c>
      <c r="H89" t="b">
        <v>1</v>
      </c>
    </row>
    <row r="90" spans="1:8" x14ac:dyDescent="0.25">
      <c r="A90" s="2" t="s">
        <v>219</v>
      </c>
      <c r="B90" s="2" t="s">
        <v>170</v>
      </c>
      <c r="C90" s="61">
        <v>4743.13</v>
      </c>
      <c r="D90" s="61">
        <v>5996.13</v>
      </c>
      <c r="E90" s="61">
        <v>4500</v>
      </c>
      <c r="F90" s="61">
        <v>9000</v>
      </c>
      <c r="G90" t="b">
        <v>1</v>
      </c>
      <c r="H90" t="b">
        <v>1</v>
      </c>
    </row>
    <row r="91" spans="1:8" x14ac:dyDescent="0.25">
      <c r="A91" s="2" t="s">
        <v>220</v>
      </c>
      <c r="B91" s="2" t="s">
        <v>172</v>
      </c>
      <c r="C91" s="61">
        <v>558.95000000000005</v>
      </c>
      <c r="D91" s="61">
        <v>1117.9000000000001</v>
      </c>
      <c r="E91" s="61">
        <v>1016</v>
      </c>
      <c r="F91" s="61">
        <v>6100</v>
      </c>
      <c r="G91" t="b">
        <v>1</v>
      </c>
      <c r="H91" t="b">
        <v>1</v>
      </c>
    </row>
    <row r="92" spans="1:8" x14ac:dyDescent="0.25">
      <c r="A92" s="2" t="s">
        <v>221</v>
      </c>
      <c r="B92" s="2" t="s">
        <v>222</v>
      </c>
      <c r="C92" s="61">
        <v>3120</v>
      </c>
      <c r="D92" s="61">
        <v>3120</v>
      </c>
      <c r="E92" s="61">
        <v>10000</v>
      </c>
      <c r="F92" s="61">
        <v>25000</v>
      </c>
      <c r="G92" t="b">
        <v>1</v>
      </c>
      <c r="H92" t="b">
        <v>1</v>
      </c>
    </row>
    <row r="93" spans="1:8" x14ac:dyDescent="0.25">
      <c r="A93" s="4" t="s">
        <v>72</v>
      </c>
      <c r="B93" s="4" t="s">
        <v>136</v>
      </c>
      <c r="C93" s="68">
        <f>SUMIF(G86:G92, TRUE, C86:C92)</f>
        <v>47681.189999999995</v>
      </c>
      <c r="D93" s="68">
        <f>SUMIF(G86:G92, TRUE, D86:D92)</f>
        <v>60637.54</v>
      </c>
      <c r="E93" s="68">
        <f>SUMIF(G86:G92, TRUE, E86:E92)</f>
        <v>54425</v>
      </c>
      <c r="F93" s="68">
        <f>SUMIF(G86:G92, TRUE, F86:F92)</f>
        <v>234665</v>
      </c>
      <c r="G93" t="b">
        <v>0</v>
      </c>
      <c r="H93" t="b">
        <v>0</v>
      </c>
    </row>
    <row r="94" spans="1:8" x14ac:dyDescent="0.25">
      <c r="A94" s="2" t="s">
        <v>223</v>
      </c>
      <c r="B94" s="2" t="s">
        <v>179</v>
      </c>
      <c r="C94" s="61">
        <v>0</v>
      </c>
      <c r="D94" s="61">
        <v>0</v>
      </c>
      <c r="E94" s="61">
        <v>0</v>
      </c>
      <c r="F94" s="61">
        <v>0</v>
      </c>
      <c r="G94" t="b">
        <v>0</v>
      </c>
      <c r="H94" t="b">
        <v>1</v>
      </c>
    </row>
    <row r="95" spans="1:8" x14ac:dyDescent="0.25">
      <c r="A95" s="2" t="s">
        <v>224</v>
      </c>
      <c r="B95" s="2" t="s">
        <v>181</v>
      </c>
      <c r="C95" s="61">
        <v>0</v>
      </c>
      <c r="D95" s="61">
        <v>0</v>
      </c>
      <c r="E95" s="61">
        <v>0</v>
      </c>
      <c r="F95" s="61">
        <v>0</v>
      </c>
      <c r="G95" t="b">
        <v>0</v>
      </c>
      <c r="H95" t="b">
        <v>1</v>
      </c>
    </row>
    <row r="96" spans="1:8" x14ac:dyDescent="0.25">
      <c r="A96" s="2" t="s">
        <v>225</v>
      </c>
      <c r="B96" s="2" t="s">
        <v>138</v>
      </c>
      <c r="C96" s="61">
        <v>0</v>
      </c>
      <c r="D96" s="61">
        <v>0</v>
      </c>
      <c r="E96" s="61">
        <v>0</v>
      </c>
      <c r="F96" s="61">
        <v>0</v>
      </c>
      <c r="G96" t="b">
        <v>0</v>
      </c>
      <c r="H96" t="b">
        <v>1</v>
      </c>
    </row>
    <row r="97" spans="1:8" x14ac:dyDescent="0.25">
      <c r="A97" s="2" t="s">
        <v>226</v>
      </c>
      <c r="B97" s="2" t="s">
        <v>227</v>
      </c>
      <c r="C97" s="61">
        <v>260</v>
      </c>
      <c r="D97" s="61">
        <v>4760</v>
      </c>
      <c r="E97" s="61">
        <v>5000</v>
      </c>
      <c r="F97" s="61">
        <v>5000</v>
      </c>
      <c r="G97" t="b">
        <v>1</v>
      </c>
      <c r="H97" t="b">
        <v>1</v>
      </c>
    </row>
    <row r="98" spans="1:8" x14ac:dyDescent="0.25">
      <c r="A98" s="2" t="s">
        <v>228</v>
      </c>
      <c r="B98" s="2" t="s">
        <v>184</v>
      </c>
      <c r="C98" s="61">
        <v>12118.32</v>
      </c>
      <c r="D98" s="61">
        <v>24236.639999999999</v>
      </c>
      <c r="E98" s="61">
        <v>25000</v>
      </c>
      <c r="F98" s="61">
        <v>150000</v>
      </c>
      <c r="G98" t="b">
        <v>1</v>
      </c>
      <c r="H98" t="b">
        <v>1</v>
      </c>
    </row>
    <row r="99" spans="1:8" x14ac:dyDescent="0.25">
      <c r="A99" s="2" t="s">
        <v>229</v>
      </c>
      <c r="B99" s="2" t="s">
        <v>113</v>
      </c>
      <c r="C99" s="61">
        <v>30652.44</v>
      </c>
      <c r="D99" s="61">
        <v>30652.44</v>
      </c>
      <c r="E99" s="61">
        <v>18334</v>
      </c>
      <c r="F99" s="61">
        <v>110000</v>
      </c>
      <c r="G99" t="b">
        <v>1</v>
      </c>
      <c r="H99" t="b">
        <v>1</v>
      </c>
    </row>
    <row r="100" spans="1:8" x14ac:dyDescent="0.25">
      <c r="A100" s="2" t="s">
        <v>230</v>
      </c>
      <c r="B100" s="2" t="s">
        <v>231</v>
      </c>
      <c r="C100" s="61">
        <v>0</v>
      </c>
      <c r="D100" s="61">
        <v>0</v>
      </c>
      <c r="E100" s="61">
        <v>3334</v>
      </c>
      <c r="F100" s="61">
        <v>20000</v>
      </c>
      <c r="G100" t="b">
        <v>1</v>
      </c>
      <c r="H100" t="b">
        <v>1</v>
      </c>
    </row>
    <row r="101" spans="1:8" x14ac:dyDescent="0.25">
      <c r="A101" s="2" t="s">
        <v>232</v>
      </c>
      <c r="B101" s="2" t="s">
        <v>233</v>
      </c>
      <c r="C101" s="61">
        <v>0</v>
      </c>
      <c r="D101" s="61">
        <v>0</v>
      </c>
      <c r="E101" s="61">
        <v>334</v>
      </c>
      <c r="F101" s="61">
        <v>2000</v>
      </c>
      <c r="G101" t="b">
        <v>1</v>
      </c>
      <c r="H101" t="b">
        <v>1</v>
      </c>
    </row>
    <row r="102" spans="1:8" x14ac:dyDescent="0.25">
      <c r="A102" s="2" t="s">
        <v>234</v>
      </c>
      <c r="B102" s="2" t="s">
        <v>235</v>
      </c>
      <c r="C102" s="61">
        <v>792</v>
      </c>
      <c r="D102" s="61">
        <v>904</v>
      </c>
      <c r="E102" s="61">
        <v>2000</v>
      </c>
      <c r="F102" s="61">
        <v>2000</v>
      </c>
      <c r="G102" t="b">
        <v>1</v>
      </c>
      <c r="H102" t="b">
        <v>1</v>
      </c>
    </row>
    <row r="103" spans="1:8" x14ac:dyDescent="0.25">
      <c r="A103" s="2" t="s">
        <v>236</v>
      </c>
      <c r="B103" s="2" t="s">
        <v>237</v>
      </c>
      <c r="C103" s="61">
        <v>0</v>
      </c>
      <c r="D103" s="61">
        <v>2308.25</v>
      </c>
      <c r="E103" s="61">
        <v>3334</v>
      </c>
      <c r="F103" s="61">
        <v>20000</v>
      </c>
      <c r="G103" t="b">
        <v>1</v>
      </c>
      <c r="H103" t="b">
        <v>1</v>
      </c>
    </row>
    <row r="104" spans="1:8" x14ac:dyDescent="0.25">
      <c r="A104" s="2" t="s">
        <v>238</v>
      </c>
      <c r="B104" s="2" t="s">
        <v>239</v>
      </c>
      <c r="C104" s="61">
        <v>420.6</v>
      </c>
      <c r="D104" s="61">
        <v>2020.6</v>
      </c>
      <c r="E104" s="61">
        <v>1666</v>
      </c>
      <c r="F104" s="61">
        <v>10000</v>
      </c>
      <c r="G104" t="b">
        <v>1</v>
      </c>
      <c r="H104" t="b">
        <v>1</v>
      </c>
    </row>
    <row r="105" spans="1:8" x14ac:dyDescent="0.25">
      <c r="A105" s="2" t="s">
        <v>240</v>
      </c>
      <c r="B105" s="2" t="s">
        <v>61</v>
      </c>
      <c r="C105" s="61">
        <v>1922.89</v>
      </c>
      <c r="D105" s="61">
        <v>10304.89</v>
      </c>
      <c r="E105" s="61">
        <v>2500</v>
      </c>
      <c r="F105" s="61">
        <v>15000</v>
      </c>
      <c r="G105" t="b">
        <v>1</v>
      </c>
      <c r="H105" t="b">
        <v>1</v>
      </c>
    </row>
    <row r="106" spans="1:8" x14ac:dyDescent="0.25">
      <c r="A106" s="2" t="s">
        <v>241</v>
      </c>
      <c r="B106" s="2" t="s">
        <v>242</v>
      </c>
      <c r="C106" s="61">
        <v>0</v>
      </c>
      <c r="D106" s="61">
        <v>0</v>
      </c>
      <c r="E106" s="61">
        <v>416</v>
      </c>
      <c r="F106" s="61">
        <v>2500</v>
      </c>
      <c r="G106" t="b">
        <v>1</v>
      </c>
      <c r="H106" t="b">
        <v>1</v>
      </c>
    </row>
    <row r="107" spans="1:8" x14ac:dyDescent="0.25">
      <c r="A107" s="2" t="s">
        <v>243</v>
      </c>
      <c r="B107" s="2" t="s">
        <v>244</v>
      </c>
      <c r="C107" s="61">
        <v>850</v>
      </c>
      <c r="D107" s="61">
        <v>1000</v>
      </c>
      <c r="E107" s="61">
        <v>584</v>
      </c>
      <c r="F107" s="61">
        <v>3500</v>
      </c>
      <c r="G107" t="b">
        <v>1</v>
      </c>
      <c r="H107" t="b">
        <v>1</v>
      </c>
    </row>
    <row r="108" spans="1:8" x14ac:dyDescent="0.25">
      <c r="A108" s="2" t="s">
        <v>245</v>
      </c>
      <c r="B108" s="2" t="s">
        <v>246</v>
      </c>
      <c r="C108" s="61">
        <v>2145.36</v>
      </c>
      <c r="D108" s="61">
        <v>8985.91</v>
      </c>
      <c r="E108" s="61">
        <v>3334</v>
      </c>
      <c r="F108" s="61">
        <v>20000</v>
      </c>
      <c r="G108" t="b">
        <v>1</v>
      </c>
      <c r="H108" t="b">
        <v>1</v>
      </c>
    </row>
    <row r="109" spans="1:8" x14ac:dyDescent="0.25">
      <c r="A109" s="2" t="s">
        <v>247</v>
      </c>
      <c r="B109" s="2" t="s">
        <v>189</v>
      </c>
      <c r="C109" s="61">
        <v>12258</v>
      </c>
      <c r="D109" s="61">
        <v>66492</v>
      </c>
      <c r="E109" s="61">
        <v>0</v>
      </c>
      <c r="F109" s="61">
        <v>0</v>
      </c>
      <c r="G109" t="b">
        <v>1</v>
      </c>
      <c r="H109" t="b">
        <v>1</v>
      </c>
    </row>
    <row r="110" spans="1:8" x14ac:dyDescent="0.25">
      <c r="A110" s="4" t="s">
        <v>72</v>
      </c>
      <c r="B110" s="4" t="s">
        <v>136</v>
      </c>
      <c r="C110" s="68">
        <f>SUMIF(G94:G109, TRUE, C94:C109)</f>
        <v>61419.609999999993</v>
      </c>
      <c r="D110" s="68">
        <f>SUMIF(G94:G109, TRUE, D94:D109)</f>
        <v>151664.73000000001</v>
      </c>
      <c r="E110" s="68">
        <f>SUMIF(G94:G109, TRUE, E94:E109)</f>
        <v>65836</v>
      </c>
      <c r="F110" s="68">
        <f>SUMIF(G94:G109, TRUE, F94:F109)</f>
        <v>360000</v>
      </c>
      <c r="G110" t="b">
        <v>0</v>
      </c>
      <c r="H110" t="b">
        <v>0</v>
      </c>
    </row>
    <row r="111" spans="1:8" x14ac:dyDescent="0.25">
      <c r="A111" s="2" t="s">
        <v>248</v>
      </c>
      <c r="B111" s="2" t="s">
        <v>249</v>
      </c>
      <c r="C111" s="61">
        <v>0</v>
      </c>
      <c r="D111" s="61">
        <v>0</v>
      </c>
      <c r="E111" s="61">
        <v>0</v>
      </c>
      <c r="F111" s="61">
        <v>0</v>
      </c>
      <c r="G111" t="b">
        <v>0</v>
      </c>
      <c r="H111" t="b">
        <v>1</v>
      </c>
    </row>
    <row r="112" spans="1:8" x14ac:dyDescent="0.25">
      <c r="A112" s="2" t="s">
        <v>250</v>
      </c>
      <c r="B112" s="2" t="s">
        <v>158</v>
      </c>
      <c r="C112" s="61">
        <v>0</v>
      </c>
      <c r="D112" s="61">
        <v>0</v>
      </c>
      <c r="E112" s="61">
        <v>0</v>
      </c>
      <c r="F112" s="61">
        <v>0</v>
      </c>
      <c r="G112" t="b">
        <v>0</v>
      </c>
      <c r="H112" t="b">
        <v>1</v>
      </c>
    </row>
    <row r="113" spans="1:8" x14ac:dyDescent="0.25">
      <c r="A113" s="2" t="s">
        <v>251</v>
      </c>
      <c r="B113" s="2" t="s">
        <v>160</v>
      </c>
      <c r="C113" s="61">
        <v>12590.76</v>
      </c>
      <c r="D113" s="61">
        <v>21484.97</v>
      </c>
      <c r="E113" s="61">
        <v>16774</v>
      </c>
      <c r="F113" s="61">
        <v>109027</v>
      </c>
      <c r="G113" t="b">
        <v>1</v>
      </c>
      <c r="H113" t="b">
        <v>1</v>
      </c>
    </row>
    <row r="114" spans="1:8" x14ac:dyDescent="0.25">
      <c r="A114" s="2" t="s">
        <v>252</v>
      </c>
      <c r="B114" s="2" t="s">
        <v>162</v>
      </c>
      <c r="C114" s="61">
        <v>223.28</v>
      </c>
      <c r="D114" s="61">
        <v>286.37</v>
      </c>
      <c r="E114" s="61">
        <v>408</v>
      </c>
      <c r="F114" s="61">
        <v>2657</v>
      </c>
      <c r="G114" t="b">
        <v>1</v>
      </c>
      <c r="H114" t="b">
        <v>1</v>
      </c>
    </row>
    <row r="115" spans="1:8" x14ac:dyDescent="0.25">
      <c r="A115" s="2" t="s">
        <v>253</v>
      </c>
      <c r="B115" s="2" t="s">
        <v>164</v>
      </c>
      <c r="C115" s="61">
        <v>1044.26</v>
      </c>
      <c r="D115" s="61">
        <v>1747.68</v>
      </c>
      <c r="E115" s="61">
        <v>1452</v>
      </c>
      <c r="F115" s="61">
        <v>9437</v>
      </c>
      <c r="G115" t="b">
        <v>1</v>
      </c>
      <c r="H115" t="b">
        <v>1</v>
      </c>
    </row>
    <row r="116" spans="1:8" x14ac:dyDescent="0.25">
      <c r="A116" s="2" t="s">
        <v>254</v>
      </c>
      <c r="B116" s="2" t="s">
        <v>166</v>
      </c>
      <c r="C116" s="61">
        <v>13166.43</v>
      </c>
      <c r="D116" s="61">
        <v>19748.18</v>
      </c>
      <c r="E116" s="61">
        <v>13776</v>
      </c>
      <c r="F116" s="61">
        <v>82657</v>
      </c>
      <c r="G116" t="b">
        <v>1</v>
      </c>
      <c r="H116" t="b">
        <v>1</v>
      </c>
    </row>
    <row r="117" spans="1:8" x14ac:dyDescent="0.25">
      <c r="A117" s="2" t="s">
        <v>255</v>
      </c>
      <c r="B117" s="2" t="s">
        <v>168</v>
      </c>
      <c r="C117" s="61">
        <v>209.31</v>
      </c>
      <c r="D117" s="61">
        <v>344.88</v>
      </c>
      <c r="E117" s="61">
        <v>280</v>
      </c>
      <c r="F117" s="61">
        <v>1819</v>
      </c>
      <c r="G117" t="b">
        <v>1</v>
      </c>
      <c r="H117" t="b">
        <v>1</v>
      </c>
    </row>
    <row r="118" spans="1:8" x14ac:dyDescent="0.25">
      <c r="A118" s="2" t="s">
        <v>256</v>
      </c>
      <c r="B118" s="2" t="s">
        <v>170</v>
      </c>
      <c r="C118" s="61">
        <v>0</v>
      </c>
      <c r="D118" s="61">
        <v>0</v>
      </c>
      <c r="E118" s="61">
        <v>166</v>
      </c>
      <c r="F118" s="61">
        <v>1000</v>
      </c>
      <c r="G118" t="b">
        <v>1</v>
      </c>
      <c r="H118" t="b">
        <v>1</v>
      </c>
    </row>
    <row r="119" spans="1:8" x14ac:dyDescent="0.25">
      <c r="A119" s="2" t="s">
        <v>257</v>
      </c>
      <c r="B119" s="2" t="s">
        <v>172</v>
      </c>
      <c r="C119" s="61">
        <v>249.58</v>
      </c>
      <c r="D119" s="61">
        <v>499.16</v>
      </c>
      <c r="E119" s="61">
        <v>530</v>
      </c>
      <c r="F119" s="61">
        <v>3440</v>
      </c>
      <c r="G119" t="b">
        <v>1</v>
      </c>
      <c r="H119" t="b">
        <v>1</v>
      </c>
    </row>
    <row r="120" spans="1:8" x14ac:dyDescent="0.25">
      <c r="A120" s="4" t="s">
        <v>72</v>
      </c>
      <c r="B120" s="4" t="s">
        <v>136</v>
      </c>
      <c r="C120" s="68">
        <f>SUMIF(G111:G119, TRUE, C111:C119)</f>
        <v>27483.620000000006</v>
      </c>
      <c r="D120" s="68">
        <f>SUMIF(G111:G119, TRUE, D111:D119)</f>
        <v>44111.24</v>
      </c>
      <c r="E120" s="68">
        <f>SUMIF(G111:G119, TRUE, E111:E119)</f>
        <v>33386</v>
      </c>
      <c r="F120" s="68">
        <f>SUMIF(G111:G119, TRUE, F111:F119)</f>
        <v>210037</v>
      </c>
      <c r="G120" t="b">
        <v>0</v>
      </c>
      <c r="H120" t="b">
        <v>0</v>
      </c>
    </row>
    <row r="121" spans="1:8" x14ac:dyDescent="0.25">
      <c r="A121" s="2" t="s">
        <v>258</v>
      </c>
      <c r="B121" s="2" t="s">
        <v>174</v>
      </c>
      <c r="C121" s="61">
        <v>0</v>
      </c>
      <c r="D121" s="61">
        <v>0</v>
      </c>
      <c r="E121" s="61">
        <v>0</v>
      </c>
      <c r="F121" s="61">
        <v>0</v>
      </c>
      <c r="G121" t="b">
        <v>0</v>
      </c>
      <c r="H121" t="b">
        <v>1</v>
      </c>
    </row>
    <row r="122" spans="1:8" x14ac:dyDescent="0.25">
      <c r="A122" s="2" t="s">
        <v>259</v>
      </c>
      <c r="B122" s="2" t="s">
        <v>160</v>
      </c>
      <c r="C122" s="61">
        <v>3535.56</v>
      </c>
      <c r="D122" s="61">
        <v>5431.5</v>
      </c>
      <c r="E122" s="61">
        <v>3000</v>
      </c>
      <c r="F122" s="61">
        <v>10000</v>
      </c>
      <c r="G122" t="b">
        <v>1</v>
      </c>
      <c r="H122" t="b">
        <v>1</v>
      </c>
    </row>
    <row r="123" spans="1:8" x14ac:dyDescent="0.25">
      <c r="A123" s="2" t="s">
        <v>260</v>
      </c>
      <c r="B123" s="2" t="s">
        <v>164</v>
      </c>
      <c r="C123" s="61">
        <v>325.69</v>
      </c>
      <c r="D123" s="61">
        <v>405.33</v>
      </c>
      <c r="E123" s="61">
        <v>270</v>
      </c>
      <c r="F123" s="61">
        <v>900</v>
      </c>
      <c r="G123" t="b">
        <v>1</v>
      </c>
      <c r="H123" t="b">
        <v>1</v>
      </c>
    </row>
    <row r="124" spans="1:8" x14ac:dyDescent="0.25">
      <c r="A124" s="2" t="s">
        <v>261</v>
      </c>
      <c r="B124" s="2" t="s">
        <v>170</v>
      </c>
      <c r="C124" s="61">
        <v>0</v>
      </c>
      <c r="D124" s="61">
        <v>131.5</v>
      </c>
      <c r="E124" s="61">
        <v>0</v>
      </c>
      <c r="F124" s="61">
        <v>0</v>
      </c>
      <c r="G124" t="b">
        <v>1</v>
      </c>
      <c r="H124" t="b">
        <v>1</v>
      </c>
    </row>
    <row r="125" spans="1:8" x14ac:dyDescent="0.25">
      <c r="A125" s="2" t="s">
        <v>262</v>
      </c>
      <c r="B125" s="2" t="s">
        <v>172</v>
      </c>
      <c r="C125" s="61">
        <v>22.94</v>
      </c>
      <c r="D125" s="61">
        <v>45.88</v>
      </c>
      <c r="E125" s="61">
        <v>50</v>
      </c>
      <c r="F125" s="61">
        <v>300</v>
      </c>
      <c r="G125" t="b">
        <v>1</v>
      </c>
      <c r="H125" t="b">
        <v>1</v>
      </c>
    </row>
    <row r="126" spans="1:8" x14ac:dyDescent="0.25">
      <c r="A126" s="4" t="s">
        <v>72</v>
      </c>
      <c r="B126" s="4" t="s">
        <v>136</v>
      </c>
      <c r="C126" s="68">
        <f>SUMIF(G121:G125, TRUE, C121:C125)</f>
        <v>3884.19</v>
      </c>
      <c r="D126" s="68">
        <f>SUMIF(G121:G125, TRUE, D121:D125)</f>
        <v>6014.21</v>
      </c>
      <c r="E126" s="68">
        <f>SUMIF(G121:G125, TRUE, E121:E125)</f>
        <v>3320</v>
      </c>
      <c r="F126" s="68">
        <f>SUMIF(G121:G125, TRUE, F121:F125)</f>
        <v>11200</v>
      </c>
      <c r="G126" t="b">
        <v>0</v>
      </c>
      <c r="H126" t="b">
        <v>0</v>
      </c>
    </row>
    <row r="127" spans="1:8" x14ac:dyDescent="0.25">
      <c r="A127" s="2" t="s">
        <v>263</v>
      </c>
      <c r="B127" s="2" t="s">
        <v>179</v>
      </c>
      <c r="C127" s="61">
        <v>0</v>
      </c>
      <c r="D127" s="61">
        <v>0</v>
      </c>
      <c r="E127" s="61">
        <v>0</v>
      </c>
      <c r="F127" s="61">
        <v>0</v>
      </c>
      <c r="G127" t="b">
        <v>0</v>
      </c>
      <c r="H127" t="b">
        <v>1</v>
      </c>
    </row>
    <row r="128" spans="1:8" x14ac:dyDescent="0.25">
      <c r="A128" s="2" t="s">
        <v>264</v>
      </c>
      <c r="B128" s="2" t="s">
        <v>121</v>
      </c>
      <c r="C128" s="61">
        <v>74.760000000000005</v>
      </c>
      <c r="D128" s="61">
        <v>402.97</v>
      </c>
      <c r="E128" s="61">
        <v>500</v>
      </c>
      <c r="F128" s="61">
        <v>3000</v>
      </c>
      <c r="G128" t="b">
        <v>1</v>
      </c>
      <c r="H128" t="b">
        <v>1</v>
      </c>
    </row>
    <row r="129" spans="1:8" x14ac:dyDescent="0.25">
      <c r="A129" s="2" t="s">
        <v>265</v>
      </c>
      <c r="B129" s="2" t="s">
        <v>119</v>
      </c>
      <c r="C129" s="61">
        <v>3990</v>
      </c>
      <c r="D129" s="61">
        <v>3990</v>
      </c>
      <c r="E129" s="61">
        <v>250</v>
      </c>
      <c r="F129" s="61">
        <v>1500</v>
      </c>
      <c r="G129" t="b">
        <v>1</v>
      </c>
      <c r="H129" t="b">
        <v>1</v>
      </c>
    </row>
    <row r="130" spans="1:8" x14ac:dyDescent="0.25">
      <c r="A130" s="4" t="s">
        <v>72</v>
      </c>
      <c r="B130" s="4" t="s">
        <v>136</v>
      </c>
      <c r="C130" s="68">
        <f>SUMIF(G127:G129, TRUE, C127:C129)</f>
        <v>4064.76</v>
      </c>
      <c r="D130" s="68">
        <f>SUMIF(G127:G129, TRUE, D127:D129)</f>
        <v>4392.97</v>
      </c>
      <c r="E130" s="68">
        <f>SUMIF(G127:G129, TRUE, E127:E129)</f>
        <v>750</v>
      </c>
      <c r="F130" s="68">
        <f>SUMIF(G127:G129, TRUE, F127:F129)</f>
        <v>4500</v>
      </c>
      <c r="G130" t="b">
        <v>0</v>
      </c>
      <c r="H130" t="b">
        <v>0</v>
      </c>
    </row>
    <row r="131" spans="1:8" x14ac:dyDescent="0.25">
      <c r="A131" s="2" t="s">
        <v>266</v>
      </c>
      <c r="B131" s="2" t="s">
        <v>181</v>
      </c>
      <c r="C131" s="61">
        <v>0</v>
      </c>
      <c r="D131" s="61">
        <v>0</v>
      </c>
      <c r="E131" s="61">
        <v>0</v>
      </c>
      <c r="F131" s="61">
        <v>0</v>
      </c>
      <c r="G131" t="b">
        <v>0</v>
      </c>
      <c r="H131" t="b">
        <v>1</v>
      </c>
    </row>
    <row r="132" spans="1:8" x14ac:dyDescent="0.25">
      <c r="A132" s="2" t="s">
        <v>267</v>
      </c>
      <c r="B132" s="2" t="s">
        <v>138</v>
      </c>
      <c r="C132" s="61">
        <v>0</v>
      </c>
      <c r="D132" s="61">
        <v>0</v>
      </c>
      <c r="E132" s="61">
        <v>0</v>
      </c>
      <c r="F132" s="61">
        <v>0</v>
      </c>
      <c r="G132" t="b">
        <v>0</v>
      </c>
      <c r="H132" t="b">
        <v>1</v>
      </c>
    </row>
    <row r="133" spans="1:8" x14ac:dyDescent="0.25">
      <c r="A133" s="2" t="s">
        <v>268</v>
      </c>
      <c r="B133" s="2" t="s">
        <v>135</v>
      </c>
      <c r="C133" s="61">
        <v>158</v>
      </c>
      <c r="D133" s="61">
        <v>158</v>
      </c>
      <c r="E133" s="61">
        <v>832</v>
      </c>
      <c r="F133" s="61">
        <v>5000</v>
      </c>
      <c r="G133" t="b">
        <v>1</v>
      </c>
      <c r="H133" t="b">
        <v>1</v>
      </c>
    </row>
    <row r="134" spans="1:8" x14ac:dyDescent="0.25">
      <c r="A134" s="2" t="s">
        <v>269</v>
      </c>
      <c r="B134" s="2" t="s">
        <v>61</v>
      </c>
      <c r="C134" s="61">
        <v>0</v>
      </c>
      <c r="D134" s="61">
        <v>0</v>
      </c>
      <c r="E134" s="61">
        <v>25</v>
      </c>
      <c r="F134" s="61">
        <v>150</v>
      </c>
      <c r="G134" t="b">
        <v>1</v>
      </c>
      <c r="H134" t="b">
        <v>1</v>
      </c>
    </row>
    <row r="135" spans="1:8" x14ac:dyDescent="0.25">
      <c r="A135" s="2" t="s">
        <v>270</v>
      </c>
      <c r="B135" s="2" t="s">
        <v>242</v>
      </c>
      <c r="C135" s="61">
        <v>79.98</v>
      </c>
      <c r="D135" s="61">
        <v>79.98</v>
      </c>
      <c r="E135" s="61">
        <v>166</v>
      </c>
      <c r="F135" s="61">
        <v>1000</v>
      </c>
      <c r="G135" t="b">
        <v>1</v>
      </c>
      <c r="H135" t="b">
        <v>1</v>
      </c>
    </row>
    <row r="136" spans="1:8" x14ac:dyDescent="0.25">
      <c r="A136" s="4" t="s">
        <v>72</v>
      </c>
      <c r="B136" s="4" t="s">
        <v>136</v>
      </c>
      <c r="C136" s="68">
        <f>SUMIF(G131:G135, TRUE, C131:C135)</f>
        <v>237.98000000000002</v>
      </c>
      <c r="D136" s="68">
        <f>SUMIF(G131:G135, TRUE, D131:D135)</f>
        <v>237.98000000000002</v>
      </c>
      <c r="E136" s="68">
        <f>SUMIF(G131:G135, TRUE, E131:E135)</f>
        <v>1023</v>
      </c>
      <c r="F136" s="68">
        <f>SUMIF(G131:G135, TRUE, F131:F135)</f>
        <v>6150</v>
      </c>
      <c r="G136" t="b">
        <v>0</v>
      </c>
      <c r="H136" t="b">
        <v>0</v>
      </c>
    </row>
    <row r="137" spans="1:8" x14ac:dyDescent="0.25">
      <c r="A137" s="2" t="s">
        <v>271</v>
      </c>
      <c r="B137" s="2" t="s">
        <v>272</v>
      </c>
      <c r="C137" s="61">
        <v>0</v>
      </c>
      <c r="D137" s="61">
        <v>0</v>
      </c>
      <c r="E137" s="61">
        <v>0</v>
      </c>
      <c r="F137" s="61">
        <v>0</v>
      </c>
      <c r="G137" t="b">
        <v>0</v>
      </c>
      <c r="H137" t="b">
        <v>1</v>
      </c>
    </row>
    <row r="138" spans="1:8" x14ac:dyDescent="0.25">
      <c r="A138" s="2" t="s">
        <v>273</v>
      </c>
      <c r="B138" s="2" t="s">
        <v>158</v>
      </c>
      <c r="C138" s="61">
        <v>0</v>
      </c>
      <c r="D138" s="61">
        <v>0</v>
      </c>
      <c r="E138" s="61">
        <v>0</v>
      </c>
      <c r="F138" s="61">
        <v>0</v>
      </c>
      <c r="G138" t="b">
        <v>0</v>
      </c>
      <c r="H138" t="b">
        <v>1</v>
      </c>
    </row>
    <row r="139" spans="1:8" x14ac:dyDescent="0.25">
      <c r="A139" s="2" t="s">
        <v>274</v>
      </c>
      <c r="B139" s="2" t="s">
        <v>160</v>
      </c>
      <c r="C139" s="61">
        <v>8888.2099999999991</v>
      </c>
      <c r="D139" s="61">
        <v>15294.1</v>
      </c>
      <c r="E139" s="61">
        <v>11071</v>
      </c>
      <c r="F139" s="61">
        <v>71963</v>
      </c>
      <c r="G139" t="b">
        <v>1</v>
      </c>
      <c r="H139" t="b">
        <v>1</v>
      </c>
    </row>
    <row r="140" spans="1:8" x14ac:dyDescent="0.25">
      <c r="A140" s="2" t="s">
        <v>275</v>
      </c>
      <c r="B140" s="2" t="s">
        <v>162</v>
      </c>
      <c r="C140" s="61">
        <v>0</v>
      </c>
      <c r="D140" s="61">
        <v>0</v>
      </c>
      <c r="E140" s="61">
        <v>1111</v>
      </c>
      <c r="F140" s="61">
        <v>7221</v>
      </c>
      <c r="G140" t="b">
        <v>1</v>
      </c>
      <c r="H140" t="b">
        <v>1</v>
      </c>
    </row>
    <row r="141" spans="1:8" x14ac:dyDescent="0.25">
      <c r="A141" s="2" t="s">
        <v>276</v>
      </c>
      <c r="B141" s="2" t="s">
        <v>164</v>
      </c>
      <c r="C141" s="61">
        <v>672.57</v>
      </c>
      <c r="D141" s="61">
        <v>1196.29</v>
      </c>
      <c r="E141" s="61">
        <v>1030</v>
      </c>
      <c r="F141" s="61">
        <v>6691</v>
      </c>
      <c r="G141" t="b">
        <v>1</v>
      </c>
      <c r="H141" t="b">
        <v>1</v>
      </c>
    </row>
    <row r="142" spans="1:8" x14ac:dyDescent="0.25">
      <c r="A142" s="2" t="s">
        <v>277</v>
      </c>
      <c r="B142" s="2" t="s">
        <v>166</v>
      </c>
      <c r="C142" s="61">
        <v>7319.5</v>
      </c>
      <c r="D142" s="61">
        <v>11009.53</v>
      </c>
      <c r="E142" s="61">
        <v>7548</v>
      </c>
      <c r="F142" s="61">
        <v>45291</v>
      </c>
      <c r="G142" t="b">
        <v>1</v>
      </c>
      <c r="H142" t="b">
        <v>1</v>
      </c>
    </row>
    <row r="143" spans="1:8" x14ac:dyDescent="0.25">
      <c r="A143" s="2" t="s">
        <v>278</v>
      </c>
      <c r="B143" s="2" t="s">
        <v>170</v>
      </c>
      <c r="C143" s="61">
        <v>0</v>
      </c>
      <c r="D143" s="61">
        <v>229.5</v>
      </c>
      <c r="E143" s="61">
        <v>500</v>
      </c>
      <c r="F143" s="61">
        <v>500</v>
      </c>
      <c r="G143" t="b">
        <v>1</v>
      </c>
      <c r="H143" t="b">
        <v>1</v>
      </c>
    </row>
    <row r="144" spans="1:8" x14ac:dyDescent="0.25">
      <c r="A144" s="2" t="s">
        <v>279</v>
      </c>
      <c r="B144" s="2" t="s">
        <v>172</v>
      </c>
      <c r="C144" s="61">
        <v>26.87</v>
      </c>
      <c r="D144" s="61">
        <v>53.74</v>
      </c>
      <c r="E144" s="61">
        <v>54</v>
      </c>
      <c r="F144" s="61">
        <v>349</v>
      </c>
      <c r="G144" t="b">
        <v>1</v>
      </c>
      <c r="H144" t="b">
        <v>1</v>
      </c>
    </row>
    <row r="145" spans="1:8" x14ac:dyDescent="0.25">
      <c r="A145" s="4" t="s">
        <v>72</v>
      </c>
      <c r="B145" s="4" t="s">
        <v>136</v>
      </c>
      <c r="C145" s="68">
        <f>SUMIF(G137:G144, TRUE, C137:C144)</f>
        <v>16907.149999999998</v>
      </c>
      <c r="D145" s="68">
        <f>SUMIF(G137:G144, TRUE, D137:D144)</f>
        <v>27783.16</v>
      </c>
      <c r="E145" s="68">
        <f>SUMIF(G137:G144, TRUE, E137:E144)</f>
        <v>21314</v>
      </c>
      <c r="F145" s="68">
        <f>SUMIF(G137:G144, TRUE, F137:F144)</f>
        <v>132015</v>
      </c>
      <c r="G145" t="b">
        <v>0</v>
      </c>
      <c r="H145" t="b">
        <v>0</v>
      </c>
    </row>
    <row r="146" spans="1:8" x14ac:dyDescent="0.25">
      <c r="A146" s="2" t="s">
        <v>280</v>
      </c>
      <c r="B146" s="2" t="s">
        <v>174</v>
      </c>
      <c r="C146" s="61">
        <v>0</v>
      </c>
      <c r="D146" s="61">
        <v>0</v>
      </c>
      <c r="E146" s="61">
        <v>0</v>
      </c>
      <c r="F146" s="61">
        <v>0</v>
      </c>
      <c r="G146" t="b">
        <v>0</v>
      </c>
      <c r="H146" t="b">
        <v>1</v>
      </c>
    </row>
    <row r="147" spans="1:8" x14ac:dyDescent="0.25">
      <c r="A147" s="2" t="s">
        <v>281</v>
      </c>
      <c r="B147" s="2" t="s">
        <v>160</v>
      </c>
      <c r="C147" s="61">
        <v>3676.27</v>
      </c>
      <c r="D147" s="61">
        <v>3676.27</v>
      </c>
      <c r="E147" s="61">
        <v>18121</v>
      </c>
      <c r="F147" s="61">
        <v>108725</v>
      </c>
      <c r="G147" t="b">
        <v>1</v>
      </c>
      <c r="H147" t="b">
        <v>1</v>
      </c>
    </row>
    <row r="148" spans="1:8" x14ac:dyDescent="0.25">
      <c r="A148" s="2" t="s">
        <v>282</v>
      </c>
      <c r="B148" s="2" t="s">
        <v>162</v>
      </c>
      <c r="C148" s="61">
        <v>0</v>
      </c>
      <c r="D148" s="61">
        <v>0</v>
      </c>
      <c r="E148" s="61">
        <v>67</v>
      </c>
      <c r="F148" s="61">
        <v>400</v>
      </c>
      <c r="G148" t="b">
        <v>1</v>
      </c>
      <c r="H148" t="b">
        <v>1</v>
      </c>
    </row>
    <row r="149" spans="1:8" x14ac:dyDescent="0.25">
      <c r="A149" s="2" t="s">
        <v>283</v>
      </c>
      <c r="B149" s="2" t="s">
        <v>164</v>
      </c>
      <c r="C149" s="61">
        <v>258.32</v>
      </c>
      <c r="D149" s="61">
        <v>258.32</v>
      </c>
      <c r="E149" s="61">
        <v>1650</v>
      </c>
      <c r="F149" s="61">
        <v>9900</v>
      </c>
      <c r="G149" t="b">
        <v>1</v>
      </c>
      <c r="H149" t="b">
        <v>1</v>
      </c>
    </row>
    <row r="150" spans="1:8" x14ac:dyDescent="0.25">
      <c r="A150" s="2" t="s">
        <v>284</v>
      </c>
      <c r="B150" s="2" t="s">
        <v>170</v>
      </c>
      <c r="C150" s="61">
        <v>0</v>
      </c>
      <c r="D150" s="61">
        <v>438</v>
      </c>
      <c r="E150" s="61">
        <v>4000</v>
      </c>
      <c r="F150" s="61">
        <v>4000</v>
      </c>
      <c r="G150" t="b">
        <v>1</v>
      </c>
      <c r="H150" t="b">
        <v>1</v>
      </c>
    </row>
    <row r="151" spans="1:8" x14ac:dyDescent="0.25">
      <c r="A151" s="2" t="s">
        <v>285</v>
      </c>
      <c r="B151" s="2" t="s">
        <v>172</v>
      </c>
      <c r="C151" s="61">
        <v>33.14</v>
      </c>
      <c r="D151" s="61">
        <v>66.28</v>
      </c>
      <c r="E151" s="61">
        <v>84</v>
      </c>
      <c r="F151" s="61">
        <v>500</v>
      </c>
      <c r="G151" t="b">
        <v>1</v>
      </c>
      <c r="H151" t="b">
        <v>1</v>
      </c>
    </row>
    <row r="152" spans="1:8" x14ac:dyDescent="0.25">
      <c r="A152" s="4" t="s">
        <v>72</v>
      </c>
      <c r="B152" s="4" t="s">
        <v>136</v>
      </c>
      <c r="C152" s="68">
        <f>SUMIF(G146:G151, TRUE, C146:C151)</f>
        <v>3967.73</v>
      </c>
      <c r="D152" s="68">
        <f>SUMIF(G146:G151, TRUE, D146:D151)</f>
        <v>4438.87</v>
      </c>
      <c r="E152" s="68">
        <f>SUMIF(G146:G151, TRUE, E146:E151)</f>
        <v>23922</v>
      </c>
      <c r="F152" s="68">
        <f>SUMIF(G146:G151, TRUE, F146:F151)</f>
        <v>123525</v>
      </c>
      <c r="G152" t="b">
        <v>0</v>
      </c>
      <c r="H152" t="b">
        <v>0</v>
      </c>
    </row>
    <row r="153" spans="1:8" x14ac:dyDescent="0.25">
      <c r="A153" s="2" t="s">
        <v>286</v>
      </c>
      <c r="B153" s="2" t="s">
        <v>179</v>
      </c>
      <c r="C153" s="61">
        <v>0</v>
      </c>
      <c r="D153" s="61">
        <v>0</v>
      </c>
      <c r="E153" s="61">
        <v>0</v>
      </c>
      <c r="F153" s="61">
        <v>0</v>
      </c>
      <c r="G153" t="b">
        <v>0</v>
      </c>
      <c r="H153" t="b">
        <v>1</v>
      </c>
    </row>
    <row r="154" spans="1:8" x14ac:dyDescent="0.25">
      <c r="A154" s="2" t="s">
        <v>287</v>
      </c>
      <c r="B154" s="2" t="s">
        <v>181</v>
      </c>
      <c r="C154" s="61">
        <v>0</v>
      </c>
      <c r="D154" s="61">
        <v>0</v>
      </c>
      <c r="E154" s="61">
        <v>0</v>
      </c>
      <c r="F154" s="61">
        <v>0</v>
      </c>
      <c r="G154" t="b">
        <v>0</v>
      </c>
      <c r="H154" t="b">
        <v>1</v>
      </c>
    </row>
    <row r="155" spans="1:8" x14ac:dyDescent="0.25">
      <c r="A155" s="2" t="s">
        <v>288</v>
      </c>
      <c r="B155" s="2" t="s">
        <v>138</v>
      </c>
      <c r="C155" s="61">
        <v>0</v>
      </c>
      <c r="D155" s="61">
        <v>0</v>
      </c>
      <c r="E155" s="61">
        <v>0</v>
      </c>
      <c r="F155" s="61">
        <v>0</v>
      </c>
      <c r="G155" t="b">
        <v>0</v>
      </c>
      <c r="H155" t="b">
        <v>1</v>
      </c>
    </row>
    <row r="156" spans="1:8" x14ac:dyDescent="0.25">
      <c r="A156" s="2" t="s">
        <v>289</v>
      </c>
      <c r="B156" s="2" t="s">
        <v>61</v>
      </c>
      <c r="C156" s="61">
        <v>0</v>
      </c>
      <c r="D156" s="61">
        <v>0</v>
      </c>
      <c r="E156" s="61">
        <v>167</v>
      </c>
      <c r="F156" s="61">
        <v>1000</v>
      </c>
      <c r="G156" t="b">
        <v>1</v>
      </c>
      <c r="H156" t="b">
        <v>1</v>
      </c>
    </row>
    <row r="157" spans="1:8" x14ac:dyDescent="0.25">
      <c r="A157" s="2" t="s">
        <v>290</v>
      </c>
      <c r="B157" s="2" t="s">
        <v>242</v>
      </c>
      <c r="C157" s="61">
        <v>0</v>
      </c>
      <c r="D157" s="61">
        <v>0</v>
      </c>
      <c r="E157" s="61">
        <v>83</v>
      </c>
      <c r="F157" s="61">
        <v>500</v>
      </c>
      <c r="G157" t="b">
        <v>1</v>
      </c>
      <c r="H157" t="b">
        <v>1</v>
      </c>
    </row>
    <row r="158" spans="1:8" x14ac:dyDescent="0.25">
      <c r="A158" s="4" t="s">
        <v>72</v>
      </c>
      <c r="B158" s="4" t="s">
        <v>136</v>
      </c>
      <c r="C158" s="68">
        <f>SUMIF(G153:G157, TRUE, C153:C157)</f>
        <v>0</v>
      </c>
      <c r="D158" s="68">
        <f>SUMIF(G153:G157, TRUE, D153:D157)</f>
        <v>0</v>
      </c>
      <c r="E158" s="68">
        <f>SUMIF(G153:G157, TRUE, E153:E157)</f>
        <v>250</v>
      </c>
      <c r="F158" s="68">
        <f>SUMIF(G153:G157, TRUE, F153:F157)</f>
        <v>1500</v>
      </c>
      <c r="G158" t="b">
        <v>0</v>
      </c>
      <c r="H158" t="b">
        <v>0</v>
      </c>
    </row>
    <row r="159" spans="1:8" x14ac:dyDescent="0.25">
      <c r="A159" s="2" t="s">
        <v>291</v>
      </c>
      <c r="B159" s="2" t="s">
        <v>292</v>
      </c>
      <c r="C159" s="61">
        <v>0</v>
      </c>
      <c r="D159" s="61">
        <v>0</v>
      </c>
      <c r="E159" s="61">
        <v>0</v>
      </c>
      <c r="F159" s="61">
        <v>0</v>
      </c>
      <c r="G159" t="b">
        <v>0</v>
      </c>
      <c r="H159" t="b">
        <v>1</v>
      </c>
    </row>
    <row r="160" spans="1:8" x14ac:dyDescent="0.25">
      <c r="A160" s="2" t="s">
        <v>293</v>
      </c>
      <c r="B160" s="2" t="s">
        <v>158</v>
      </c>
      <c r="C160" s="61">
        <v>0</v>
      </c>
      <c r="D160" s="61">
        <v>0</v>
      </c>
      <c r="E160" s="61">
        <v>0</v>
      </c>
      <c r="F160" s="61">
        <v>0</v>
      </c>
      <c r="G160" t="b">
        <v>0</v>
      </c>
      <c r="H160" t="b">
        <v>1</v>
      </c>
    </row>
    <row r="161" spans="1:8" x14ac:dyDescent="0.25">
      <c r="A161" s="2" t="s">
        <v>294</v>
      </c>
      <c r="B161" s="2" t="s">
        <v>160</v>
      </c>
      <c r="C161" s="61">
        <v>6311.57</v>
      </c>
      <c r="D161" s="61">
        <v>9284.61</v>
      </c>
      <c r="E161" s="61">
        <v>17832</v>
      </c>
      <c r="F161" s="61">
        <v>115904</v>
      </c>
      <c r="G161" t="b">
        <v>1</v>
      </c>
      <c r="H161" t="b">
        <v>1</v>
      </c>
    </row>
    <row r="162" spans="1:8" x14ac:dyDescent="0.25">
      <c r="A162" s="2" t="s">
        <v>295</v>
      </c>
      <c r="B162" s="2" t="s">
        <v>164</v>
      </c>
      <c r="C162" s="61">
        <v>514.36</v>
      </c>
      <c r="D162" s="61">
        <v>763.05</v>
      </c>
      <c r="E162" s="61">
        <v>1506</v>
      </c>
      <c r="F162" s="61">
        <v>9794</v>
      </c>
      <c r="G162" t="b">
        <v>1</v>
      </c>
      <c r="H162" t="b">
        <v>1</v>
      </c>
    </row>
    <row r="163" spans="1:8" x14ac:dyDescent="0.25">
      <c r="A163" s="2" t="s">
        <v>296</v>
      </c>
      <c r="B163" s="2" t="s">
        <v>166</v>
      </c>
      <c r="C163" s="61">
        <v>0</v>
      </c>
      <c r="D163" s="61">
        <v>0</v>
      </c>
      <c r="E163" s="61">
        <v>7724</v>
      </c>
      <c r="F163" s="61">
        <v>46341</v>
      </c>
      <c r="G163" t="b">
        <v>1</v>
      </c>
      <c r="H163" t="b">
        <v>1</v>
      </c>
    </row>
    <row r="164" spans="1:8" x14ac:dyDescent="0.25">
      <c r="A164" s="2" t="s">
        <v>297</v>
      </c>
      <c r="B164" s="2" t="s">
        <v>168</v>
      </c>
      <c r="C164" s="61">
        <v>0</v>
      </c>
      <c r="D164" s="61">
        <v>0</v>
      </c>
      <c r="E164" s="61">
        <v>314</v>
      </c>
      <c r="F164" s="61">
        <v>2040</v>
      </c>
      <c r="G164" t="b">
        <v>1</v>
      </c>
      <c r="H164" t="b">
        <v>1</v>
      </c>
    </row>
    <row r="165" spans="1:8" x14ac:dyDescent="0.25">
      <c r="A165" s="2" t="s">
        <v>298</v>
      </c>
      <c r="B165" s="2" t="s">
        <v>170</v>
      </c>
      <c r="C165" s="61">
        <v>0</v>
      </c>
      <c r="D165" s="61">
        <v>0</v>
      </c>
      <c r="E165" s="61">
        <v>34</v>
      </c>
      <c r="F165" s="61">
        <v>200</v>
      </c>
      <c r="G165" t="b">
        <v>1</v>
      </c>
      <c r="H165" t="b">
        <v>1</v>
      </c>
    </row>
    <row r="166" spans="1:8" x14ac:dyDescent="0.25">
      <c r="A166" s="2" t="s">
        <v>299</v>
      </c>
      <c r="B166" s="2" t="s">
        <v>172</v>
      </c>
      <c r="C166" s="61">
        <v>39.89</v>
      </c>
      <c r="D166" s="61">
        <v>79.78</v>
      </c>
      <c r="E166" s="61">
        <v>85</v>
      </c>
      <c r="F166" s="61">
        <v>510</v>
      </c>
      <c r="G166" t="b">
        <v>1</v>
      </c>
      <c r="H166" t="b">
        <v>1</v>
      </c>
    </row>
    <row r="167" spans="1:8" x14ac:dyDescent="0.25">
      <c r="A167" s="4" t="s">
        <v>72</v>
      </c>
      <c r="B167" s="4" t="s">
        <v>136</v>
      </c>
      <c r="C167" s="68">
        <f>SUMIF(G159:G166, TRUE, C159:C166)</f>
        <v>6865.82</v>
      </c>
      <c r="D167" s="68">
        <f>SUMIF(G159:G166, TRUE, D159:D166)</f>
        <v>10127.44</v>
      </c>
      <c r="E167" s="68">
        <f>SUMIF(G159:G166, TRUE, E159:E166)</f>
        <v>27495</v>
      </c>
      <c r="F167" s="68">
        <f>SUMIF(G159:G166, TRUE, F159:F166)</f>
        <v>174789</v>
      </c>
      <c r="G167" t="b">
        <v>0</v>
      </c>
      <c r="H167" t="b">
        <v>0</v>
      </c>
    </row>
    <row r="168" spans="1:8" x14ac:dyDescent="0.25">
      <c r="A168" s="2" t="s">
        <v>300</v>
      </c>
      <c r="B168" s="2" t="s">
        <v>181</v>
      </c>
      <c r="C168" s="61">
        <v>0</v>
      </c>
      <c r="D168" s="61">
        <v>0</v>
      </c>
      <c r="E168" s="61">
        <v>0</v>
      </c>
      <c r="F168" s="61">
        <v>0</v>
      </c>
      <c r="G168" t="b">
        <v>0</v>
      </c>
      <c r="H168" t="b">
        <v>1</v>
      </c>
    </row>
    <row r="169" spans="1:8" x14ac:dyDescent="0.25">
      <c r="A169" s="2" t="s">
        <v>301</v>
      </c>
      <c r="B169" s="2" t="s">
        <v>138</v>
      </c>
      <c r="C169" s="61">
        <v>0</v>
      </c>
      <c r="D169" s="61">
        <v>0</v>
      </c>
      <c r="E169" s="61">
        <v>0</v>
      </c>
      <c r="F169" s="61">
        <v>0</v>
      </c>
      <c r="G169" t="b">
        <v>0</v>
      </c>
      <c r="H169" t="b">
        <v>1</v>
      </c>
    </row>
    <row r="170" spans="1:8" x14ac:dyDescent="0.25">
      <c r="A170" s="2" t="s">
        <v>302</v>
      </c>
      <c r="B170" s="2" t="s">
        <v>186</v>
      </c>
      <c r="C170" s="61">
        <v>0</v>
      </c>
      <c r="D170" s="61">
        <v>0</v>
      </c>
      <c r="E170" s="61">
        <v>83</v>
      </c>
      <c r="F170" s="61">
        <v>500</v>
      </c>
      <c r="G170" t="b">
        <v>1</v>
      </c>
      <c r="H170" t="b">
        <v>1</v>
      </c>
    </row>
    <row r="171" spans="1:8" x14ac:dyDescent="0.25">
      <c r="A171" s="4" t="s">
        <v>72</v>
      </c>
      <c r="B171" s="4" t="s">
        <v>136</v>
      </c>
      <c r="C171" s="68">
        <f>SUMIF(G168:G170, TRUE, C168:C170)</f>
        <v>0</v>
      </c>
      <c r="D171" s="68">
        <f>SUMIF(G168:G170, TRUE, D168:D170)</f>
        <v>0</v>
      </c>
      <c r="E171" s="68">
        <f>SUMIF(G168:G170, TRUE, E168:E170)</f>
        <v>83</v>
      </c>
      <c r="F171" s="68">
        <f>SUMIF(G168:G170, TRUE, F168:F170)</f>
        <v>500</v>
      </c>
      <c r="G171" t="b">
        <v>0</v>
      </c>
      <c r="H171" t="b">
        <v>0</v>
      </c>
    </row>
    <row r="172" spans="1:8" x14ac:dyDescent="0.25">
      <c r="A172" s="2" t="s">
        <v>303</v>
      </c>
      <c r="B172" s="2" t="s">
        <v>304</v>
      </c>
      <c r="C172" s="61">
        <v>0</v>
      </c>
      <c r="D172" s="61">
        <v>0</v>
      </c>
      <c r="E172" s="61">
        <v>0</v>
      </c>
      <c r="F172" s="61">
        <v>0</v>
      </c>
      <c r="G172" t="b">
        <v>0</v>
      </c>
      <c r="H172" t="b">
        <v>1</v>
      </c>
    </row>
    <row r="173" spans="1:8" x14ac:dyDescent="0.25">
      <c r="A173" s="2" t="s">
        <v>305</v>
      </c>
      <c r="B173" s="2" t="s">
        <v>158</v>
      </c>
      <c r="C173" s="61">
        <v>0</v>
      </c>
      <c r="D173" s="61">
        <v>0</v>
      </c>
      <c r="E173" s="61">
        <v>0</v>
      </c>
      <c r="F173" s="61">
        <v>0</v>
      </c>
      <c r="G173" t="b">
        <v>0</v>
      </c>
      <c r="H173" t="b">
        <v>1</v>
      </c>
    </row>
    <row r="174" spans="1:8" x14ac:dyDescent="0.25">
      <c r="A174" s="2" t="s">
        <v>306</v>
      </c>
      <c r="B174" s="2" t="s">
        <v>160</v>
      </c>
      <c r="C174" s="61">
        <v>4829.3500000000004</v>
      </c>
      <c r="D174" s="61">
        <v>7629.97</v>
      </c>
      <c r="E174" s="61">
        <v>4627</v>
      </c>
      <c r="F174" s="61">
        <v>30079</v>
      </c>
      <c r="G174" t="b">
        <v>1</v>
      </c>
      <c r="H174" t="b">
        <v>1</v>
      </c>
    </row>
    <row r="175" spans="1:8" x14ac:dyDescent="0.25">
      <c r="A175" s="2" t="s">
        <v>307</v>
      </c>
      <c r="B175" s="2" t="s">
        <v>164</v>
      </c>
      <c r="C175" s="61">
        <v>393.57</v>
      </c>
      <c r="D175" s="61">
        <v>627.51</v>
      </c>
      <c r="E175" s="61">
        <v>391</v>
      </c>
      <c r="F175" s="61">
        <v>2542</v>
      </c>
      <c r="G175" t="b">
        <v>1</v>
      </c>
      <c r="H175" t="b">
        <v>1</v>
      </c>
    </row>
    <row r="176" spans="1:8" x14ac:dyDescent="0.25">
      <c r="A176" s="2" t="s">
        <v>308</v>
      </c>
      <c r="B176" s="2" t="s">
        <v>172</v>
      </c>
      <c r="C176" s="61">
        <v>2.62</v>
      </c>
      <c r="D176" s="61">
        <v>5.24</v>
      </c>
      <c r="E176" s="61">
        <v>6</v>
      </c>
      <c r="F176" s="61">
        <v>39</v>
      </c>
      <c r="G176" t="b">
        <v>1</v>
      </c>
      <c r="H176" t="b">
        <v>1</v>
      </c>
    </row>
    <row r="177" spans="1:8" x14ac:dyDescent="0.25">
      <c r="A177" s="4" t="s">
        <v>72</v>
      </c>
      <c r="B177" s="4" t="s">
        <v>136</v>
      </c>
      <c r="C177" s="68">
        <f>SUMIF(G172:G176, TRUE, C172:C176)</f>
        <v>5225.54</v>
      </c>
      <c r="D177" s="68">
        <f>SUMIF(G172:G176, TRUE, D172:D176)</f>
        <v>8262.7199999999993</v>
      </c>
      <c r="E177" s="68">
        <f>SUMIF(G172:G176, TRUE, E172:E176)</f>
        <v>5024</v>
      </c>
      <c r="F177" s="68">
        <f>SUMIF(G172:G176, TRUE, F172:F176)</f>
        <v>32660</v>
      </c>
      <c r="G177" t="b">
        <v>0</v>
      </c>
      <c r="H177" t="b">
        <v>0</v>
      </c>
    </row>
    <row r="178" spans="1:8" x14ac:dyDescent="0.25">
      <c r="A178" s="2" t="s">
        <v>309</v>
      </c>
      <c r="B178" s="2" t="s">
        <v>310</v>
      </c>
      <c r="C178" s="61">
        <v>0</v>
      </c>
      <c r="D178" s="61">
        <v>0</v>
      </c>
      <c r="E178" s="61">
        <v>0</v>
      </c>
      <c r="F178" s="61">
        <v>0</v>
      </c>
      <c r="G178" t="b">
        <v>0</v>
      </c>
      <c r="H178" t="b">
        <v>1</v>
      </c>
    </row>
    <row r="179" spans="1:8" x14ac:dyDescent="0.25">
      <c r="A179" s="2" t="s">
        <v>311</v>
      </c>
      <c r="B179" s="2" t="s">
        <v>158</v>
      </c>
      <c r="C179" s="61">
        <v>0</v>
      </c>
      <c r="D179" s="61">
        <v>0</v>
      </c>
      <c r="E179" s="61">
        <v>0</v>
      </c>
      <c r="F179" s="61">
        <v>0</v>
      </c>
      <c r="G179" t="b">
        <v>0</v>
      </c>
      <c r="H179" t="b">
        <v>1</v>
      </c>
    </row>
    <row r="180" spans="1:8" x14ac:dyDescent="0.25">
      <c r="A180" s="2" t="s">
        <v>312</v>
      </c>
      <c r="B180" s="2" t="s">
        <v>160</v>
      </c>
      <c r="C180" s="61">
        <v>3090</v>
      </c>
      <c r="D180" s="61">
        <v>5129</v>
      </c>
      <c r="E180" s="61">
        <v>4120</v>
      </c>
      <c r="F180" s="61">
        <v>26780</v>
      </c>
      <c r="G180" t="b">
        <v>1</v>
      </c>
      <c r="H180" t="b">
        <v>1</v>
      </c>
    </row>
    <row r="181" spans="1:8" x14ac:dyDescent="0.25">
      <c r="A181" s="2" t="s">
        <v>313</v>
      </c>
      <c r="B181" s="2" t="s">
        <v>164</v>
      </c>
      <c r="C181" s="61">
        <v>251.82</v>
      </c>
      <c r="D181" s="61">
        <v>422.33</v>
      </c>
      <c r="E181" s="61">
        <v>348</v>
      </c>
      <c r="F181" s="61">
        <v>2263</v>
      </c>
      <c r="G181" t="b">
        <v>1</v>
      </c>
      <c r="H181" t="b">
        <v>1</v>
      </c>
    </row>
    <row r="182" spans="1:8" x14ac:dyDescent="0.25">
      <c r="A182" s="2" t="s">
        <v>314</v>
      </c>
      <c r="B182" s="2" t="s">
        <v>166</v>
      </c>
      <c r="C182" s="61">
        <v>193.36</v>
      </c>
      <c r="D182" s="61">
        <v>290.04000000000002</v>
      </c>
      <c r="E182" s="61">
        <v>194</v>
      </c>
      <c r="F182" s="61">
        <v>1164</v>
      </c>
      <c r="G182" t="b">
        <v>1</v>
      </c>
      <c r="H182" t="b">
        <v>1</v>
      </c>
    </row>
    <row r="183" spans="1:8" x14ac:dyDescent="0.25">
      <c r="A183" s="2" t="s">
        <v>315</v>
      </c>
      <c r="B183" s="2" t="s">
        <v>172</v>
      </c>
      <c r="C183" s="61">
        <v>59.65</v>
      </c>
      <c r="D183" s="61">
        <v>119.3</v>
      </c>
      <c r="E183" s="61">
        <v>137.5</v>
      </c>
      <c r="F183" s="61">
        <v>825</v>
      </c>
      <c r="G183" t="b">
        <v>1</v>
      </c>
      <c r="H183" t="b">
        <v>1</v>
      </c>
    </row>
    <row r="184" spans="1:8" x14ac:dyDescent="0.25">
      <c r="A184" s="2" t="s">
        <v>316</v>
      </c>
      <c r="B184" s="2" t="s">
        <v>160</v>
      </c>
      <c r="C184" s="61">
        <v>0</v>
      </c>
      <c r="D184" s="61">
        <v>91.44</v>
      </c>
      <c r="E184" s="61">
        <v>65250</v>
      </c>
      <c r="F184" s="61">
        <v>435000</v>
      </c>
      <c r="G184" t="b">
        <v>1</v>
      </c>
      <c r="H184" t="b">
        <v>1</v>
      </c>
    </row>
    <row r="185" spans="1:8" x14ac:dyDescent="0.25">
      <c r="A185" s="2" t="s">
        <v>317</v>
      </c>
      <c r="B185" s="2" t="s">
        <v>162</v>
      </c>
      <c r="C185" s="61">
        <v>0</v>
      </c>
      <c r="D185" s="61">
        <v>0</v>
      </c>
      <c r="E185" s="61">
        <v>0</v>
      </c>
      <c r="F185" s="61">
        <v>37500</v>
      </c>
      <c r="G185" t="b">
        <v>1</v>
      </c>
      <c r="H185" t="b">
        <v>1</v>
      </c>
    </row>
    <row r="186" spans="1:8" x14ac:dyDescent="0.25">
      <c r="A186" s="2" t="s">
        <v>318</v>
      </c>
      <c r="B186" s="2" t="s">
        <v>164</v>
      </c>
      <c r="C186" s="61">
        <v>0</v>
      </c>
      <c r="D186" s="61">
        <v>7.62</v>
      </c>
      <c r="E186" s="61">
        <v>6379</v>
      </c>
      <c r="F186" s="61">
        <v>42525</v>
      </c>
      <c r="G186" t="b">
        <v>1</v>
      </c>
      <c r="H186" t="b">
        <v>1</v>
      </c>
    </row>
    <row r="187" spans="1:8" x14ac:dyDescent="0.25">
      <c r="A187" s="2" t="s">
        <v>319</v>
      </c>
      <c r="B187" s="2" t="s">
        <v>170</v>
      </c>
      <c r="C187" s="61">
        <v>12182.9</v>
      </c>
      <c r="D187" s="61">
        <v>16173.06</v>
      </c>
      <c r="E187" s="61">
        <v>5000</v>
      </c>
      <c r="F187" s="61">
        <v>15000</v>
      </c>
      <c r="G187" t="b">
        <v>1</v>
      </c>
      <c r="H187" t="b">
        <v>1</v>
      </c>
    </row>
    <row r="188" spans="1:8" x14ac:dyDescent="0.25">
      <c r="A188" s="2" t="s">
        <v>320</v>
      </c>
      <c r="B188" s="2" t="s">
        <v>172</v>
      </c>
      <c r="C188" s="61">
        <v>1022</v>
      </c>
      <c r="D188" s="61">
        <v>2044</v>
      </c>
      <c r="E188" s="61">
        <v>2425</v>
      </c>
      <c r="F188" s="61">
        <v>14553</v>
      </c>
      <c r="G188" t="b">
        <v>1</v>
      </c>
      <c r="H188" t="b">
        <v>1</v>
      </c>
    </row>
    <row r="189" spans="1:8" x14ac:dyDescent="0.25">
      <c r="A189" s="4" t="s">
        <v>72</v>
      </c>
      <c r="B189" s="4" t="s">
        <v>136</v>
      </c>
      <c r="C189" s="68">
        <f>SUMIF(G178:G188, TRUE, C178:C188)</f>
        <v>16799.73</v>
      </c>
      <c r="D189" s="68">
        <f>SUMIF(G178:G188, TRUE, D178:D188)</f>
        <v>24276.79</v>
      </c>
      <c r="E189" s="68">
        <f>SUMIF(G178:G188, TRUE, E178:E188)</f>
        <v>83853.5</v>
      </c>
      <c r="F189" s="68">
        <f>SUMIF(G178:G188, TRUE, F178:F188)</f>
        <v>575610</v>
      </c>
      <c r="G189" t="b">
        <v>0</v>
      </c>
      <c r="H189" t="b">
        <v>0</v>
      </c>
    </row>
    <row r="190" spans="1:8" x14ac:dyDescent="0.25">
      <c r="A190" s="2" t="s">
        <v>321</v>
      </c>
      <c r="B190" s="2" t="s">
        <v>179</v>
      </c>
      <c r="C190" s="61">
        <v>0</v>
      </c>
      <c r="D190" s="61">
        <v>0</v>
      </c>
      <c r="E190" s="61">
        <v>0</v>
      </c>
      <c r="F190" s="61">
        <v>0</v>
      </c>
      <c r="G190" t="b">
        <v>0</v>
      </c>
      <c r="H190" t="b">
        <v>1</v>
      </c>
    </row>
    <row r="191" spans="1:8" x14ac:dyDescent="0.25">
      <c r="A191" s="2" t="s">
        <v>322</v>
      </c>
      <c r="B191" s="2" t="s">
        <v>121</v>
      </c>
      <c r="C191" s="61">
        <v>1206.08</v>
      </c>
      <c r="D191" s="61">
        <v>1621.42</v>
      </c>
      <c r="E191" s="61">
        <v>1250</v>
      </c>
      <c r="F191" s="61">
        <v>7500</v>
      </c>
      <c r="G191" t="b">
        <v>1</v>
      </c>
      <c r="H191" t="b">
        <v>1</v>
      </c>
    </row>
    <row r="192" spans="1:8" x14ac:dyDescent="0.25">
      <c r="A192" s="2" t="s">
        <v>323</v>
      </c>
      <c r="B192" s="2" t="s">
        <v>115</v>
      </c>
      <c r="C192" s="61">
        <v>645</v>
      </c>
      <c r="D192" s="61">
        <v>645</v>
      </c>
      <c r="E192" s="61">
        <v>634</v>
      </c>
      <c r="F192" s="61">
        <v>3800</v>
      </c>
      <c r="G192" t="b">
        <v>1</v>
      </c>
      <c r="H192" t="b">
        <v>1</v>
      </c>
    </row>
    <row r="193" spans="1:8" x14ac:dyDescent="0.25">
      <c r="A193" s="2" t="s">
        <v>324</v>
      </c>
      <c r="B193" s="2" t="s">
        <v>117</v>
      </c>
      <c r="C193" s="61">
        <v>0</v>
      </c>
      <c r="D193" s="61">
        <v>0</v>
      </c>
      <c r="E193" s="61">
        <v>0</v>
      </c>
      <c r="F193" s="61">
        <v>500</v>
      </c>
      <c r="G193" t="b">
        <v>1</v>
      </c>
      <c r="H193" t="b">
        <v>1</v>
      </c>
    </row>
    <row r="194" spans="1:8" x14ac:dyDescent="0.25">
      <c r="A194" s="2" t="s">
        <v>325</v>
      </c>
      <c r="B194" s="2" t="s">
        <v>119</v>
      </c>
      <c r="C194" s="61">
        <v>13.07</v>
      </c>
      <c r="D194" s="61">
        <v>13.07</v>
      </c>
      <c r="E194" s="61">
        <v>250</v>
      </c>
      <c r="F194" s="61">
        <v>1500</v>
      </c>
      <c r="G194" t="b">
        <v>1</v>
      </c>
      <c r="H194" t="b">
        <v>1</v>
      </c>
    </row>
    <row r="195" spans="1:8" x14ac:dyDescent="0.25">
      <c r="A195" s="4" t="s">
        <v>72</v>
      </c>
      <c r="B195" s="4" t="s">
        <v>136</v>
      </c>
      <c r="C195" s="68">
        <f>SUMIF(G190:G194, TRUE, C190:C194)</f>
        <v>1864.1499999999999</v>
      </c>
      <c r="D195" s="68">
        <f>SUMIF(G190:G194, TRUE, D190:D194)</f>
        <v>2279.4900000000002</v>
      </c>
      <c r="E195" s="68">
        <f>SUMIF(G190:G194, TRUE, E190:E194)</f>
        <v>2134</v>
      </c>
      <c r="F195" s="68">
        <f>SUMIF(G190:G194, TRUE, F190:F194)</f>
        <v>13300</v>
      </c>
      <c r="G195" t="b">
        <v>0</v>
      </c>
      <c r="H195" t="b">
        <v>0</v>
      </c>
    </row>
    <row r="196" spans="1:8" x14ac:dyDescent="0.25">
      <c r="A196" s="2" t="s">
        <v>326</v>
      </c>
      <c r="B196" s="2" t="s">
        <v>181</v>
      </c>
      <c r="C196" s="61">
        <v>0</v>
      </c>
      <c r="D196" s="61">
        <v>0</v>
      </c>
      <c r="E196" s="61">
        <v>0</v>
      </c>
      <c r="F196" s="61">
        <v>0</v>
      </c>
      <c r="G196" t="b">
        <v>0</v>
      </c>
      <c r="H196" t="b">
        <v>1</v>
      </c>
    </row>
    <row r="197" spans="1:8" x14ac:dyDescent="0.25">
      <c r="A197" s="2" t="s">
        <v>327</v>
      </c>
      <c r="B197" s="2" t="s">
        <v>138</v>
      </c>
      <c r="C197" s="61">
        <v>0</v>
      </c>
      <c r="D197" s="61">
        <v>0</v>
      </c>
      <c r="E197" s="61">
        <v>0</v>
      </c>
      <c r="F197" s="61">
        <v>0</v>
      </c>
      <c r="G197" t="b">
        <v>0</v>
      </c>
      <c r="H197" t="b">
        <v>1</v>
      </c>
    </row>
    <row r="198" spans="1:8" x14ac:dyDescent="0.25">
      <c r="A198" s="2" t="s">
        <v>328</v>
      </c>
      <c r="B198" s="2" t="s">
        <v>184</v>
      </c>
      <c r="C198" s="61">
        <v>121.92</v>
      </c>
      <c r="D198" s="61">
        <v>243.84</v>
      </c>
      <c r="E198" s="61">
        <v>500</v>
      </c>
      <c r="F198" s="61">
        <v>3000</v>
      </c>
      <c r="G198" t="b">
        <v>1</v>
      </c>
      <c r="H198" t="b">
        <v>1</v>
      </c>
    </row>
    <row r="199" spans="1:8" x14ac:dyDescent="0.25">
      <c r="A199" s="2" t="s">
        <v>329</v>
      </c>
      <c r="B199" s="2" t="s">
        <v>113</v>
      </c>
      <c r="C199" s="61">
        <v>0</v>
      </c>
      <c r="D199" s="61">
        <v>0</v>
      </c>
      <c r="E199" s="61">
        <v>500</v>
      </c>
      <c r="F199" s="61">
        <v>500</v>
      </c>
      <c r="G199" t="b">
        <v>1</v>
      </c>
      <c r="H199" t="b">
        <v>1</v>
      </c>
    </row>
    <row r="200" spans="1:8" x14ac:dyDescent="0.25">
      <c r="A200" s="2" t="s">
        <v>330</v>
      </c>
      <c r="B200" s="2" t="s">
        <v>186</v>
      </c>
      <c r="C200" s="61">
        <v>0</v>
      </c>
      <c r="D200" s="61">
        <v>0</v>
      </c>
      <c r="E200" s="61">
        <v>0</v>
      </c>
      <c r="F200" s="61">
        <v>11000</v>
      </c>
      <c r="G200" t="b">
        <v>1</v>
      </c>
      <c r="H200" t="b">
        <v>1</v>
      </c>
    </row>
    <row r="201" spans="1:8" x14ac:dyDescent="0.25">
      <c r="A201" s="2" t="s">
        <v>331</v>
      </c>
      <c r="B201" s="2" t="s">
        <v>135</v>
      </c>
      <c r="C201" s="61">
        <v>274.25</v>
      </c>
      <c r="D201" s="61">
        <v>775.5</v>
      </c>
      <c r="E201" s="61">
        <v>3000</v>
      </c>
      <c r="F201" s="61">
        <v>3000</v>
      </c>
      <c r="G201" t="b">
        <v>1</v>
      </c>
      <c r="H201" t="b">
        <v>1</v>
      </c>
    </row>
    <row r="202" spans="1:8" x14ac:dyDescent="0.25">
      <c r="A202" s="2" t="s">
        <v>332</v>
      </c>
      <c r="B202" s="2" t="s">
        <v>61</v>
      </c>
      <c r="C202" s="61">
        <v>0</v>
      </c>
      <c r="D202" s="61">
        <v>0</v>
      </c>
      <c r="E202" s="61">
        <v>250</v>
      </c>
      <c r="F202" s="61">
        <v>1000</v>
      </c>
      <c r="G202" t="b">
        <v>1</v>
      </c>
      <c r="H202" t="b">
        <v>1</v>
      </c>
    </row>
    <row r="203" spans="1:8" x14ac:dyDescent="0.25">
      <c r="A203" s="2" t="s">
        <v>333</v>
      </c>
      <c r="B203" s="2" t="s">
        <v>334</v>
      </c>
      <c r="C203" s="61">
        <v>1679.98</v>
      </c>
      <c r="D203" s="61">
        <v>1679.98</v>
      </c>
      <c r="E203" s="61">
        <v>0</v>
      </c>
      <c r="F203" s="61">
        <v>0</v>
      </c>
      <c r="G203" t="b">
        <v>1</v>
      </c>
      <c r="H203" t="b">
        <v>1</v>
      </c>
    </row>
    <row r="204" spans="1:8" x14ac:dyDescent="0.25">
      <c r="A204" s="2" t="s">
        <v>335</v>
      </c>
      <c r="B204" s="2" t="s">
        <v>242</v>
      </c>
      <c r="C204" s="61">
        <v>316.88</v>
      </c>
      <c r="D204" s="61">
        <v>3244.27</v>
      </c>
      <c r="E204" s="61">
        <v>0</v>
      </c>
      <c r="F204" s="61">
        <v>0</v>
      </c>
      <c r="G204" t="b">
        <v>1</v>
      </c>
      <c r="H204" t="b">
        <v>1</v>
      </c>
    </row>
    <row r="205" spans="1:8" x14ac:dyDescent="0.25">
      <c r="A205" s="2" t="s">
        <v>336</v>
      </c>
      <c r="B205" s="2" t="s">
        <v>337</v>
      </c>
      <c r="C205" s="61">
        <v>0</v>
      </c>
      <c r="D205" s="61">
        <v>22637.69</v>
      </c>
      <c r="E205" s="61">
        <v>0</v>
      </c>
      <c r="F205" s="61">
        <v>0</v>
      </c>
      <c r="G205" t="b">
        <v>1</v>
      </c>
      <c r="H205" t="b">
        <v>1</v>
      </c>
    </row>
    <row r="206" spans="1:8" x14ac:dyDescent="0.25">
      <c r="A206" s="2" t="s">
        <v>338</v>
      </c>
      <c r="B206" s="2" t="s">
        <v>339</v>
      </c>
      <c r="C206" s="61">
        <v>0.02</v>
      </c>
      <c r="D206" s="61">
        <v>0.02</v>
      </c>
      <c r="E206" s="61">
        <v>0</v>
      </c>
      <c r="F206" s="61">
        <v>0</v>
      </c>
      <c r="G206" t="b">
        <v>1</v>
      </c>
      <c r="H206" t="b">
        <v>1</v>
      </c>
    </row>
    <row r="207" spans="1:8" x14ac:dyDescent="0.25">
      <c r="A207" s="4" t="s">
        <v>72</v>
      </c>
      <c r="B207" s="4" t="s">
        <v>136</v>
      </c>
      <c r="C207" s="68">
        <f>SUMIF(G196:G206, TRUE, C196:C206)</f>
        <v>2393.0500000000002</v>
      </c>
      <c r="D207" s="68">
        <f>SUMIF(G196:G206, TRUE, D196:D206)</f>
        <v>28581.3</v>
      </c>
      <c r="E207" s="68">
        <f>SUMIF(G196:G206, TRUE, E196:E206)</f>
        <v>4250</v>
      </c>
      <c r="F207" s="68">
        <f>SUMIF(G196:G206, TRUE, F196:F206)</f>
        <v>18500</v>
      </c>
      <c r="G207" t="b">
        <v>0</v>
      </c>
      <c r="H207" t="b">
        <v>0</v>
      </c>
    </row>
    <row r="208" spans="1:8" x14ac:dyDescent="0.25">
      <c r="A208" s="3" t="s">
        <v>72</v>
      </c>
      <c r="B208" s="3" t="s">
        <v>73</v>
      </c>
      <c r="C208" s="62">
        <f>SUMIF(H1:H207, TRUE, C1:C207)</f>
        <v>2105157.6700000004</v>
      </c>
      <c r="D208" s="62">
        <f>SUMIF(H1:H207, TRUE, D1:D207)</f>
        <v>3586503.0100000002</v>
      </c>
      <c r="E208" s="62">
        <f>SUMIF(H1:H207, TRUE, E1:E207)</f>
        <v>972322.5</v>
      </c>
      <c r="F208" s="62">
        <f>SUMIF(H1:H207, TRUE, F1:F207)</f>
        <v>6117694</v>
      </c>
    </row>
    <row r="209" spans="1:1" x14ac:dyDescent="0.25">
      <c r="A209" t="s">
        <v>74</v>
      </c>
    </row>
    <row r="210" spans="1:1" x14ac:dyDescent="0.25">
      <c r="A210" t="s">
        <v>72</v>
      </c>
    </row>
  </sheetData>
  <autoFilter ref="A1:F21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3BE55-FEC0-42FA-AC08-D87385A5C294}">
  <dimension ref="A1:I69"/>
  <sheetViews>
    <sheetView topLeftCell="A31" workbookViewId="0">
      <selection activeCell="F56" sqref="F56"/>
    </sheetView>
  </sheetViews>
  <sheetFormatPr defaultRowHeight="15" x14ac:dyDescent="0.25"/>
  <cols>
    <col min="1" max="1" width="31.28515625" bestFit="1" customWidth="1"/>
    <col min="2" max="2" width="14" style="59" bestFit="1" customWidth="1"/>
    <col min="3" max="3" width="11.5703125" style="59" bestFit="1" customWidth="1"/>
    <col min="4" max="4" width="14" style="59" bestFit="1" customWidth="1"/>
    <col min="5" max="5" width="14" bestFit="1" customWidth="1"/>
  </cols>
  <sheetData>
    <row r="1" spans="1:5" x14ac:dyDescent="0.25">
      <c r="A1" s="66" t="s">
        <v>407</v>
      </c>
      <c r="B1" s="66"/>
      <c r="C1" s="66"/>
      <c r="D1" s="66"/>
      <c r="E1" s="66"/>
    </row>
    <row r="2" spans="1:5" x14ac:dyDescent="0.25">
      <c r="A2" s="52"/>
      <c r="B2" s="55" t="s">
        <v>403</v>
      </c>
      <c r="C2" s="55" t="s">
        <v>404</v>
      </c>
      <c r="D2" s="55" t="s">
        <v>405</v>
      </c>
      <c r="E2" s="52" t="s">
        <v>406</v>
      </c>
    </row>
    <row r="3" spans="1:5" x14ac:dyDescent="0.25">
      <c r="A3" s="53" t="s">
        <v>346</v>
      </c>
      <c r="B3" s="56">
        <f>+Revenues!C35</f>
        <v>1268931.9100000001</v>
      </c>
      <c r="C3" s="56">
        <v>832011</v>
      </c>
      <c r="D3" s="56">
        <f>+Revenues!D35</f>
        <v>2978828.7</v>
      </c>
      <c r="E3" s="53">
        <f>+Revenues!E35</f>
        <v>1329206</v>
      </c>
    </row>
    <row r="4" spans="1:5" x14ac:dyDescent="0.25">
      <c r="A4" s="53"/>
      <c r="B4" s="56"/>
      <c r="C4" s="56"/>
      <c r="D4" s="56"/>
      <c r="E4" s="53"/>
    </row>
    <row r="5" spans="1:5" x14ac:dyDescent="0.25">
      <c r="A5" s="53" t="s">
        <v>401</v>
      </c>
      <c r="B5" s="56">
        <f>+Expenditures!C208</f>
        <v>2105157.6700000004</v>
      </c>
      <c r="C5" s="56">
        <v>547247.25</v>
      </c>
      <c r="D5" s="56">
        <f>+Expenditures!D208</f>
        <v>3586503.0100000002</v>
      </c>
      <c r="E5" s="53">
        <f>+Expenditures!E208</f>
        <v>972322.5</v>
      </c>
    </row>
    <row r="6" spans="1:5" x14ac:dyDescent="0.25">
      <c r="A6" s="53"/>
      <c r="B6" s="56"/>
      <c r="C6" s="56"/>
      <c r="D6" s="56"/>
      <c r="E6" s="53"/>
    </row>
    <row r="7" spans="1:5" x14ac:dyDescent="0.25">
      <c r="A7" s="53" t="s">
        <v>358</v>
      </c>
      <c r="B7" s="56">
        <f>+'Fin Summary - Operating'!B19</f>
        <v>74578.293999999994</v>
      </c>
      <c r="C7" s="56">
        <f>+'Fin Summary - Operating'!C19</f>
        <v>61731.58</v>
      </c>
      <c r="D7" s="56">
        <f>+'Fin Summary - Operating'!I19</f>
        <v>94960.668000000005</v>
      </c>
      <c r="E7" s="53">
        <f>+'Fin Summary - Operating'!J19</f>
        <v>76467.58</v>
      </c>
    </row>
    <row r="8" spans="1:5" x14ac:dyDescent="0.25">
      <c r="A8" s="53"/>
      <c r="B8" s="56"/>
      <c r="C8" s="56"/>
      <c r="D8" s="56"/>
      <c r="E8" s="53"/>
    </row>
    <row r="9" spans="1:5" x14ac:dyDescent="0.25">
      <c r="A9" s="53" t="s">
        <v>402</v>
      </c>
      <c r="B9" s="56">
        <f>+B3-B5-B7</f>
        <v>-910804.05400000024</v>
      </c>
      <c r="C9" s="56">
        <f>+C3-C5-C7</f>
        <v>223032.16999999998</v>
      </c>
      <c r="D9" s="56">
        <f>+D3-D5-D7</f>
        <v>-702634.97800000012</v>
      </c>
      <c r="E9" s="53">
        <f>+E3-E5-E7</f>
        <v>280415.92</v>
      </c>
    </row>
    <row r="10" spans="1:5" x14ac:dyDescent="0.25">
      <c r="A10" s="53"/>
      <c r="B10" s="56"/>
      <c r="C10" s="56"/>
      <c r="D10" s="56"/>
      <c r="E10" s="53"/>
    </row>
    <row r="11" spans="1:5" x14ac:dyDescent="0.25">
      <c r="A11" s="53"/>
      <c r="B11" s="56"/>
      <c r="C11" s="56"/>
      <c r="D11" s="56"/>
      <c r="E11" s="53"/>
    </row>
    <row r="12" spans="1:5" x14ac:dyDescent="0.25">
      <c r="A12" s="53"/>
      <c r="B12" s="56"/>
      <c r="C12" s="56"/>
      <c r="D12" s="56"/>
      <c r="E12" s="53"/>
    </row>
    <row r="13" spans="1:5" x14ac:dyDescent="0.25">
      <c r="A13" s="67" t="s">
        <v>408</v>
      </c>
      <c r="B13" s="67"/>
      <c r="C13" s="67"/>
      <c r="D13" s="67"/>
      <c r="E13" s="67"/>
    </row>
    <row r="14" spans="1:5" x14ac:dyDescent="0.25">
      <c r="A14" s="54"/>
      <c r="B14" s="57" t="s">
        <v>403</v>
      </c>
      <c r="C14" s="57" t="s">
        <v>404</v>
      </c>
      <c r="D14" s="57" t="s">
        <v>405</v>
      </c>
      <c r="E14" s="54" t="s">
        <v>406</v>
      </c>
    </row>
    <row r="15" spans="1:5" x14ac:dyDescent="0.25">
      <c r="A15" s="53" t="s">
        <v>346</v>
      </c>
      <c r="B15" s="56">
        <f>+'Fin Summary - Operating'!B14</f>
        <v>1234839.6399999999</v>
      </c>
      <c r="C15" s="56">
        <f>+'Fin Summary - Operating'!C14</f>
        <v>832011</v>
      </c>
      <c r="D15" s="56">
        <f>+'Fin Summary - Operating'!I14</f>
        <v>1796327.93</v>
      </c>
      <c r="E15" s="53">
        <f>+'Fin Summary - Operating'!J14</f>
        <v>1329206</v>
      </c>
    </row>
    <row r="16" spans="1:5" x14ac:dyDescent="0.25">
      <c r="A16" s="53"/>
      <c r="B16" s="56"/>
      <c r="C16" s="56"/>
      <c r="D16" s="56"/>
      <c r="E16" s="53"/>
    </row>
    <row r="17" spans="1:5" x14ac:dyDescent="0.25">
      <c r="A17" s="53" t="s">
        <v>401</v>
      </c>
      <c r="B17" s="56">
        <f>+'Fin Summary - Operating'!B59</f>
        <v>755622.3</v>
      </c>
      <c r="C17" s="56">
        <f>+'Fin Summary - Operating'!C59</f>
        <v>547247.25</v>
      </c>
      <c r="D17" s="56">
        <f>+'Fin Summary - Operating'!I59</f>
        <v>1198399.19</v>
      </c>
      <c r="E17" s="53">
        <f>+'Fin Summary - Operating'!J59</f>
        <v>972322.5</v>
      </c>
    </row>
    <row r="18" spans="1:5" x14ac:dyDescent="0.25">
      <c r="A18" s="53"/>
      <c r="B18" s="56"/>
      <c r="C18" s="56"/>
      <c r="D18" s="56"/>
      <c r="E18" s="53"/>
    </row>
    <row r="19" spans="1:5" x14ac:dyDescent="0.25">
      <c r="A19" s="53" t="s">
        <v>358</v>
      </c>
      <c r="B19" s="56">
        <f>+'Fin Summary - Operating'!B19</f>
        <v>74578.293999999994</v>
      </c>
      <c r="C19" s="56">
        <f>+'Fin Summary - Operating'!C19</f>
        <v>61731.58</v>
      </c>
      <c r="D19" s="56">
        <f>+'Fin Summary - Operating'!I19</f>
        <v>94960.668000000005</v>
      </c>
      <c r="E19" s="53">
        <f>+'Fin Summary - Operating'!J19</f>
        <v>76467.58</v>
      </c>
    </row>
    <row r="20" spans="1:5" x14ac:dyDescent="0.25">
      <c r="A20" s="53"/>
      <c r="B20" s="56"/>
      <c r="C20" s="56"/>
      <c r="D20" s="56"/>
      <c r="E20" s="53"/>
    </row>
    <row r="21" spans="1:5" x14ac:dyDescent="0.25">
      <c r="A21" s="53" t="s">
        <v>402</v>
      </c>
      <c r="B21" s="56">
        <f>+B15-B17-B19</f>
        <v>404639.04599999986</v>
      </c>
      <c r="C21" s="56">
        <f>+C15-C17-C19</f>
        <v>223032.16999999998</v>
      </c>
      <c r="D21" s="56">
        <f>+D15-D17-D19</f>
        <v>502968.07199999999</v>
      </c>
      <c r="E21" s="53">
        <f>+E15-E17-E19</f>
        <v>280415.92</v>
      </c>
    </row>
    <row r="22" spans="1:5" x14ac:dyDescent="0.25">
      <c r="A22" s="53"/>
      <c r="B22" s="56"/>
      <c r="C22" s="56"/>
      <c r="D22" s="56"/>
      <c r="E22" s="53"/>
    </row>
    <row r="23" spans="1:5" x14ac:dyDescent="0.25">
      <c r="A23" s="53"/>
      <c r="B23" s="56"/>
      <c r="C23" s="56"/>
      <c r="D23" s="56"/>
      <c r="E23" s="53"/>
    </row>
    <row r="24" spans="1:5" x14ac:dyDescent="0.25">
      <c r="A24" s="53"/>
      <c r="B24" s="56"/>
      <c r="C24" s="56"/>
      <c r="D24" s="56"/>
      <c r="E24" s="53"/>
    </row>
    <row r="25" spans="1:5" x14ac:dyDescent="0.25">
      <c r="A25" s="67" t="s">
        <v>409</v>
      </c>
      <c r="B25" s="67"/>
      <c r="C25" s="67"/>
      <c r="D25" s="67"/>
      <c r="E25" s="67"/>
    </row>
    <row r="26" spans="1:5" x14ac:dyDescent="0.25">
      <c r="A26" s="54"/>
      <c r="B26" s="57" t="s">
        <v>403</v>
      </c>
      <c r="C26" s="57" t="s">
        <v>404</v>
      </c>
      <c r="D26" s="57" t="s">
        <v>405</v>
      </c>
      <c r="E26" s="54" t="s">
        <v>406</v>
      </c>
    </row>
    <row r="27" spans="1:5" x14ac:dyDescent="0.25">
      <c r="A27" s="53" t="s">
        <v>346</v>
      </c>
      <c r="B27" s="56">
        <f>+B3-B15</f>
        <v>34092.270000000251</v>
      </c>
      <c r="C27" s="56">
        <f>+C3-C15</f>
        <v>0</v>
      </c>
      <c r="D27" s="56">
        <f>+D3-D15</f>
        <v>1182500.7700000003</v>
      </c>
      <c r="E27" s="53">
        <f>+E3-E15</f>
        <v>0</v>
      </c>
    </row>
    <row r="28" spans="1:5" x14ac:dyDescent="0.25">
      <c r="A28" s="53"/>
      <c r="B28" s="56"/>
      <c r="C28" s="56"/>
      <c r="D28" s="56"/>
      <c r="E28" s="53"/>
    </row>
    <row r="29" spans="1:5" x14ac:dyDescent="0.25">
      <c r="A29" s="53" t="s">
        <v>401</v>
      </c>
      <c r="B29" s="56">
        <f>+B5-B17</f>
        <v>1349535.3700000003</v>
      </c>
      <c r="C29" s="56">
        <f>+C5-C17</f>
        <v>0</v>
      </c>
      <c r="D29" s="56">
        <f>+D5-D17</f>
        <v>2388103.8200000003</v>
      </c>
      <c r="E29" s="53">
        <f>+E5-E17</f>
        <v>0</v>
      </c>
    </row>
    <row r="30" spans="1:5" x14ac:dyDescent="0.25">
      <c r="A30" s="53"/>
      <c r="B30" s="56"/>
      <c r="C30" s="56"/>
      <c r="D30" s="56"/>
      <c r="E30" s="53"/>
    </row>
    <row r="31" spans="1:5" x14ac:dyDescent="0.25">
      <c r="A31" s="53" t="s">
        <v>358</v>
      </c>
      <c r="B31" s="56">
        <f>+B7-B19</f>
        <v>0</v>
      </c>
      <c r="C31" s="56">
        <f>+C7-C19</f>
        <v>0</v>
      </c>
      <c r="D31" s="56">
        <f>+D7-D19</f>
        <v>0</v>
      </c>
      <c r="E31" s="53">
        <f>+E7-E19</f>
        <v>0</v>
      </c>
    </row>
    <row r="32" spans="1:5" x14ac:dyDescent="0.25">
      <c r="A32" s="53"/>
      <c r="B32" s="56"/>
      <c r="C32" s="56"/>
      <c r="D32" s="56"/>
      <c r="E32" s="53"/>
    </row>
    <row r="33" spans="1:9" x14ac:dyDescent="0.25">
      <c r="A33" s="53" t="s">
        <v>402</v>
      </c>
      <c r="B33" s="56">
        <f>+B27-B29-B31</f>
        <v>-1315443.1000000001</v>
      </c>
      <c r="C33" s="56">
        <f>+C27-C29</f>
        <v>0</v>
      </c>
      <c r="D33" s="56">
        <f>+D27-D29</f>
        <v>-1205603.05</v>
      </c>
      <c r="E33" s="53">
        <f>+E27-E29</f>
        <v>0</v>
      </c>
    </row>
    <row r="34" spans="1:9" x14ac:dyDescent="0.25">
      <c r="A34" s="53"/>
      <c r="B34" s="56"/>
      <c r="C34" s="56"/>
      <c r="D34" s="56"/>
      <c r="E34" s="53"/>
    </row>
    <row r="35" spans="1:9" x14ac:dyDescent="0.25">
      <c r="A35" s="53"/>
      <c r="B35" s="56"/>
      <c r="C35" s="56"/>
      <c r="D35" s="56"/>
      <c r="E35" s="53"/>
    </row>
    <row r="36" spans="1:9" x14ac:dyDescent="0.25">
      <c r="A36" s="53"/>
      <c r="B36" s="56"/>
      <c r="C36" s="56"/>
      <c r="D36" s="56"/>
      <c r="E36" s="53"/>
    </row>
    <row r="37" spans="1:9" x14ac:dyDescent="0.25">
      <c r="A37" s="53"/>
      <c r="B37" s="56"/>
      <c r="C37" s="56"/>
      <c r="D37" s="56"/>
      <c r="E37" s="53"/>
    </row>
    <row r="38" spans="1:9" x14ac:dyDescent="0.25">
      <c r="A38" s="67" t="s">
        <v>410</v>
      </c>
      <c r="B38" s="67"/>
      <c r="C38" s="67"/>
      <c r="D38" s="67"/>
      <c r="E38" s="67"/>
    </row>
    <row r="39" spans="1:9" x14ac:dyDescent="0.25">
      <c r="A39" s="54"/>
      <c r="B39" s="57" t="s">
        <v>403</v>
      </c>
      <c r="C39" s="57" t="s">
        <v>404</v>
      </c>
      <c r="D39" s="57" t="s">
        <v>405</v>
      </c>
      <c r="E39" s="54" t="s">
        <v>406</v>
      </c>
    </row>
    <row r="40" spans="1:9" x14ac:dyDescent="0.25">
      <c r="A40" s="53" t="s">
        <v>411</v>
      </c>
      <c r="B40" s="56"/>
      <c r="C40" s="56"/>
      <c r="D40" s="56"/>
      <c r="E40" s="53"/>
      <c r="F40" s="51"/>
      <c r="G40" s="51"/>
    </row>
    <row r="41" spans="1:9" x14ac:dyDescent="0.25">
      <c r="A41" s="53" t="str">
        <f>+Revenues!B23</f>
        <v>Donations</v>
      </c>
      <c r="B41" s="56">
        <f>+Revenues!C23</f>
        <v>3000</v>
      </c>
      <c r="C41" s="56"/>
      <c r="D41" s="56">
        <f>+Revenues!D23</f>
        <v>3100</v>
      </c>
      <c r="E41" s="53"/>
      <c r="F41" s="51"/>
      <c r="G41" s="51"/>
    </row>
    <row r="42" spans="1:9" x14ac:dyDescent="0.25">
      <c r="A42" s="53" t="str">
        <f>+Revenues!B24</f>
        <v>Marketing Donations</v>
      </c>
      <c r="B42" s="56">
        <f>+Revenues!C24</f>
        <v>3000</v>
      </c>
      <c r="C42" s="56"/>
      <c r="D42" s="56">
        <f>+Revenues!D24</f>
        <v>7000</v>
      </c>
      <c r="E42" s="53">
        <f>+Revenues!E24</f>
        <v>0</v>
      </c>
      <c r="F42" s="51"/>
      <c r="G42" s="51"/>
    </row>
    <row r="43" spans="1:9" x14ac:dyDescent="0.25">
      <c r="A43" s="53" t="str">
        <f>+Revenues!B30</f>
        <v>Town Hall Other</v>
      </c>
      <c r="B43" s="56">
        <f>+Revenues!C30</f>
        <v>0</v>
      </c>
      <c r="C43" s="56"/>
      <c r="D43" s="56">
        <f>+Revenues!D30</f>
        <v>1138555.55</v>
      </c>
      <c r="E43" s="53">
        <f>+Revenues!E30</f>
        <v>0</v>
      </c>
      <c r="F43" s="51"/>
      <c r="G43" s="51"/>
    </row>
    <row r="44" spans="1:9" x14ac:dyDescent="0.25">
      <c r="A44" s="53" t="str">
        <f>+Revenues!B31</f>
        <v>Donations - Beach Patrol</v>
      </c>
      <c r="B44" s="56">
        <f>+Revenues!C31</f>
        <v>0</v>
      </c>
      <c r="C44" s="56"/>
      <c r="D44" s="56">
        <f>+Revenues!D31</f>
        <v>1035</v>
      </c>
      <c r="E44" s="53">
        <f>+Revenues!E31</f>
        <v>0</v>
      </c>
      <c r="F44" s="51"/>
      <c r="G44" s="51"/>
    </row>
    <row r="45" spans="1:9" x14ac:dyDescent="0.25">
      <c r="A45" s="53" t="str">
        <f>+Revenues!B32</f>
        <v>Donations - Jr Lifeguard Prog</v>
      </c>
      <c r="B45" s="56">
        <f>+Revenues!C32</f>
        <v>575</v>
      </c>
      <c r="C45" s="56"/>
      <c r="D45" s="56">
        <f>+Revenues!D32</f>
        <v>2775</v>
      </c>
      <c r="E45" s="53">
        <f>+Revenues!E32</f>
        <v>0</v>
      </c>
      <c r="F45" s="51"/>
      <c r="G45" s="51"/>
    </row>
    <row r="46" spans="1:9" x14ac:dyDescent="0.25">
      <c r="A46" s="53" t="str">
        <f>+Revenues!B33</f>
        <v>Police Department</v>
      </c>
      <c r="B46" s="56">
        <f>+Revenues!C33</f>
        <v>27517.27</v>
      </c>
      <c r="C46" s="56"/>
      <c r="D46" s="56">
        <f>+Revenues!D33</f>
        <v>30035.27</v>
      </c>
      <c r="E46" s="53">
        <f>+Revenues!E33</f>
        <v>0</v>
      </c>
      <c r="F46" s="51"/>
      <c r="G46" s="51"/>
    </row>
    <row r="47" spans="1:9" x14ac:dyDescent="0.25">
      <c r="A47" s="53"/>
      <c r="B47" s="56"/>
      <c r="C47" s="56"/>
      <c r="D47" s="56"/>
      <c r="E47" s="53"/>
      <c r="F47" s="51"/>
      <c r="G47" s="51"/>
    </row>
    <row r="48" spans="1:9" x14ac:dyDescent="0.25">
      <c r="A48" s="53"/>
      <c r="B48" s="56">
        <f>SUM(B41:B47)</f>
        <v>34092.270000000004</v>
      </c>
      <c r="C48" s="56">
        <f>SUM(C41:C47)</f>
        <v>0</v>
      </c>
      <c r="D48" s="56">
        <f>SUM(D41:D47)</f>
        <v>1182500.82</v>
      </c>
      <c r="E48" s="53">
        <f>SUM(E42:E47)</f>
        <v>0</v>
      </c>
      <c r="F48" s="51"/>
      <c r="G48" s="51"/>
      <c r="H48" s="51"/>
      <c r="I48" s="51"/>
    </row>
    <row r="49" spans="1:9" x14ac:dyDescent="0.25">
      <c r="A49" s="53"/>
      <c r="B49" s="56"/>
      <c r="C49" s="56"/>
      <c r="D49" s="56"/>
      <c r="E49" s="53"/>
      <c r="F49" s="51"/>
      <c r="G49" s="51"/>
      <c r="H49" s="51"/>
      <c r="I49" s="51"/>
    </row>
    <row r="50" spans="1:9" x14ac:dyDescent="0.25">
      <c r="A50" s="53" t="s">
        <v>412</v>
      </c>
      <c r="B50" s="56"/>
      <c r="C50" s="56"/>
      <c r="D50" s="56"/>
      <c r="E50" s="53"/>
      <c r="F50" s="51"/>
      <c r="G50" s="51"/>
      <c r="H50" s="51"/>
      <c r="I50" s="51"/>
    </row>
    <row r="51" spans="1:9" x14ac:dyDescent="0.25">
      <c r="A51" s="53" t="str">
        <f>+Expenditures!B12</f>
        <v>Donation / Sponsorship Purchase</v>
      </c>
      <c r="B51" s="56">
        <f>+Expenditures!C12</f>
        <v>3347</v>
      </c>
      <c r="C51" s="56"/>
      <c r="D51" s="56">
        <f>+Expenditures!D12</f>
        <v>3347</v>
      </c>
      <c r="E51" s="53">
        <f>+Expenditures!F12</f>
        <v>0</v>
      </c>
      <c r="F51" s="51"/>
      <c r="G51" s="51"/>
      <c r="H51" s="51"/>
      <c r="I51" s="51"/>
    </row>
    <row r="52" spans="1:9" x14ac:dyDescent="0.25">
      <c r="A52" s="53" t="str">
        <f>+Expenditures!B37</f>
        <v>Rental Expense</v>
      </c>
      <c r="B52" s="56">
        <f>+Expenditures!C37</f>
        <v>0</v>
      </c>
      <c r="C52" s="56"/>
      <c r="D52" s="56">
        <f>+Expenditures!D37</f>
        <v>836.33</v>
      </c>
      <c r="E52" s="53">
        <f>+Expenditures!F37</f>
        <v>0</v>
      </c>
      <c r="F52" s="51"/>
      <c r="G52" s="51"/>
      <c r="H52" s="51"/>
      <c r="I52" s="51"/>
    </row>
    <row r="53" spans="1:9" x14ac:dyDescent="0.25">
      <c r="A53" s="53" t="str">
        <f>+Expenditures!B38</f>
        <v>Town Street Projects</v>
      </c>
      <c r="B53" s="56">
        <f>+Expenditures!C38</f>
        <v>0</v>
      </c>
      <c r="C53" s="56"/>
      <c r="D53" s="56">
        <f>+Expenditures!D38</f>
        <v>1078.75</v>
      </c>
      <c r="E53" s="53">
        <f>+Expenditures!F38</f>
        <v>0</v>
      </c>
      <c r="F53" s="51"/>
      <c r="G53" s="51"/>
      <c r="H53" s="51"/>
      <c r="I53" s="51"/>
    </row>
    <row r="54" spans="1:9" x14ac:dyDescent="0.25">
      <c r="A54" s="53" t="str">
        <f>+Expenditures!B39</f>
        <v>Storm Water / Street Flooding</v>
      </c>
      <c r="B54" s="56">
        <f>+Expenditures!C39</f>
        <v>255760.7</v>
      </c>
      <c r="C54" s="56"/>
      <c r="D54" s="56">
        <f>+Expenditures!D39</f>
        <v>255868.21</v>
      </c>
      <c r="E54" s="53">
        <f>+Expenditures!F39</f>
        <v>0</v>
      </c>
      <c r="F54" s="51"/>
      <c r="G54" s="51"/>
      <c r="H54" s="51"/>
      <c r="I54" s="51"/>
    </row>
    <row r="55" spans="1:9" x14ac:dyDescent="0.25">
      <c r="A55" s="53" t="str">
        <f>+Expenditures!B62</f>
        <v>Equipment / Asset - Depreciable</v>
      </c>
      <c r="B55" s="56">
        <f>+Expenditures!C62</f>
        <v>1076489.67</v>
      </c>
      <c r="C55" s="56"/>
      <c r="D55" s="56">
        <f>+Expenditures!D62</f>
        <v>2036163.84</v>
      </c>
      <c r="E55" s="53">
        <f>+Expenditures!F62</f>
        <v>0</v>
      </c>
      <c r="F55" s="51"/>
      <c r="G55" s="51"/>
      <c r="H55" s="51"/>
      <c r="I55" s="51"/>
    </row>
    <row r="56" spans="1:9" x14ac:dyDescent="0.25">
      <c r="A56" s="53" t="str">
        <f>+Expenditures!B109</f>
        <v>Equipment / Asset - Depreciable</v>
      </c>
      <c r="B56" s="56">
        <f>+Expenditures!C109</f>
        <v>12258</v>
      </c>
      <c r="C56" s="56"/>
      <c r="D56" s="56">
        <f>+Expenditures!D109</f>
        <v>66492</v>
      </c>
      <c r="E56" s="53">
        <f>+Expenditures!F109</f>
        <v>0</v>
      </c>
      <c r="F56" s="51"/>
      <c r="G56" s="51"/>
      <c r="H56" s="51"/>
      <c r="I56" s="51"/>
    </row>
    <row r="57" spans="1:9" x14ac:dyDescent="0.25">
      <c r="A57" s="53" t="str">
        <f>+Expenditures!B203</f>
        <v>DBP Donations Purchases</v>
      </c>
      <c r="B57" s="56">
        <f>+Expenditures!C203</f>
        <v>1679.98</v>
      </c>
      <c r="C57" s="56"/>
      <c r="D57" s="56">
        <f>+Expenditures!D203</f>
        <v>1679.98</v>
      </c>
      <c r="E57" s="53">
        <f>+Expenditures!F203</f>
        <v>0</v>
      </c>
      <c r="F57" s="51"/>
      <c r="G57" s="51"/>
      <c r="H57" s="51"/>
      <c r="I57" s="51"/>
    </row>
    <row r="58" spans="1:9" x14ac:dyDescent="0.25">
      <c r="A58" s="53" t="str">
        <f>+Expenditures!B205</f>
        <v>Depreciation Expense</v>
      </c>
      <c r="B58" s="56">
        <f>+Expenditures!C205</f>
        <v>0</v>
      </c>
      <c r="C58" s="56"/>
      <c r="D58" s="56">
        <f>+Expenditures!D205</f>
        <v>22637.69</v>
      </c>
      <c r="E58" s="53">
        <f>+Expenditures!F205</f>
        <v>0</v>
      </c>
      <c r="F58" s="51"/>
      <c r="G58" s="51"/>
      <c r="H58" s="51"/>
      <c r="I58" s="51"/>
    </row>
    <row r="59" spans="1:9" x14ac:dyDescent="0.25">
      <c r="A59" s="53" t="str">
        <f>+Expenditures!B206</f>
        <v>Suspense</v>
      </c>
      <c r="B59" s="56">
        <f>+Expenditures!C206</f>
        <v>0.02</v>
      </c>
      <c r="C59" s="56"/>
      <c r="D59" s="56">
        <f>+Expenditures!D206</f>
        <v>0.02</v>
      </c>
      <c r="E59" s="53">
        <f>+Expenditures!F206</f>
        <v>0</v>
      </c>
      <c r="F59" s="51"/>
      <c r="G59" s="51"/>
      <c r="H59" s="51"/>
      <c r="I59" s="51"/>
    </row>
    <row r="60" spans="1:9" x14ac:dyDescent="0.25">
      <c r="A60" s="53"/>
      <c r="B60" s="56"/>
      <c r="C60" s="56"/>
      <c r="D60" s="56"/>
      <c r="E60" s="53"/>
      <c r="F60" s="51"/>
      <c r="G60" s="51"/>
      <c r="H60" s="51"/>
      <c r="I60" s="51"/>
    </row>
    <row r="61" spans="1:9" x14ac:dyDescent="0.25">
      <c r="A61" s="53"/>
      <c r="B61" s="56">
        <f>SUM(B51:B59)</f>
        <v>1349535.3699999999</v>
      </c>
      <c r="C61" s="56">
        <f>SUM(C51:C59)</f>
        <v>0</v>
      </c>
      <c r="D61" s="56">
        <f>SUM(D51:D59)</f>
        <v>2388103.8199999998</v>
      </c>
      <c r="E61" s="53">
        <f>SUM(E51:E59)</f>
        <v>0</v>
      </c>
      <c r="F61" s="51"/>
      <c r="G61" s="51"/>
      <c r="H61" s="51"/>
      <c r="I61" s="51"/>
    </row>
    <row r="62" spans="1:9" x14ac:dyDescent="0.25">
      <c r="A62" s="53"/>
      <c r="B62" s="56"/>
      <c r="C62" s="56"/>
      <c r="D62" s="56"/>
      <c r="E62" s="53"/>
    </row>
    <row r="63" spans="1:9" x14ac:dyDescent="0.25">
      <c r="A63" s="53" t="s">
        <v>413</v>
      </c>
      <c r="B63" s="56">
        <f>+B48-B61</f>
        <v>-1315443.0999999999</v>
      </c>
      <c r="C63" s="56">
        <f>+C48-C61</f>
        <v>0</v>
      </c>
      <c r="D63" s="56">
        <f>+D48-D61</f>
        <v>-1205602.9999999998</v>
      </c>
      <c r="E63" s="53">
        <f>+E48-E61</f>
        <v>0</v>
      </c>
      <c r="F63" s="51"/>
      <c r="G63" s="51"/>
      <c r="H63" s="51"/>
      <c r="I63" s="51"/>
    </row>
    <row r="64" spans="1:9" x14ac:dyDescent="0.25">
      <c r="A64" s="51"/>
      <c r="B64" s="58"/>
      <c r="C64" s="58"/>
      <c r="D64" s="58"/>
      <c r="E64" s="51"/>
    </row>
    <row r="65" spans="1:9" x14ac:dyDescent="0.25">
      <c r="A65" s="51"/>
      <c r="B65" s="58"/>
      <c r="C65" s="58"/>
      <c r="D65" s="58"/>
      <c r="E65" s="51"/>
    </row>
    <row r="66" spans="1:9" x14ac:dyDescent="0.25">
      <c r="A66" s="51"/>
      <c r="B66" s="58"/>
      <c r="C66" s="58"/>
      <c r="D66" s="58"/>
      <c r="E66" s="51"/>
      <c r="F66" s="51"/>
      <c r="G66" s="51"/>
      <c r="H66" s="51"/>
      <c r="I66" s="51"/>
    </row>
    <row r="67" spans="1:9" x14ac:dyDescent="0.25">
      <c r="A67" s="51"/>
      <c r="B67" s="58"/>
      <c r="C67" s="58"/>
      <c r="D67" s="58"/>
      <c r="E67" s="51"/>
    </row>
    <row r="68" spans="1:9" x14ac:dyDescent="0.25">
      <c r="A68" s="51"/>
      <c r="B68" s="58"/>
      <c r="C68" s="58"/>
      <c r="D68" s="58"/>
      <c r="E68" s="51"/>
    </row>
    <row r="69" spans="1:9" x14ac:dyDescent="0.25">
      <c r="A69" s="51"/>
      <c r="B69" s="58"/>
      <c r="C69" s="58"/>
      <c r="D69" s="58"/>
      <c r="E69" s="51"/>
    </row>
  </sheetData>
  <mergeCells count="4">
    <mergeCell ref="A1:E1"/>
    <mergeCell ref="A13:E13"/>
    <mergeCell ref="A25:E25"/>
    <mergeCell ref="A38:E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Fin Summary - Operating</vt:lpstr>
      <vt:lpstr>Revenues</vt:lpstr>
      <vt:lpstr>Expenditures</vt:lpstr>
      <vt:lpstr>Total Funds to Operating</vt:lpstr>
      <vt:lpstr>'Fin Summary - Operating'!Print_Area</vt:lpstr>
      <vt:lpstr>'Total Funds to Operating'!Print_Area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Sheena Hall</dc:creator>
  <cp:lastModifiedBy>Sheena Hall</cp:lastModifiedBy>
  <cp:lastPrinted>2026-06-23T13:07:49Z</cp:lastPrinted>
  <dcterms:created xsi:type="dcterms:W3CDTF">2026-06-23T12:30:45Z</dcterms:created>
  <dcterms:modified xsi:type="dcterms:W3CDTF">2026-06-23T15:50:48Z</dcterms:modified>
</cp:coreProperties>
</file>