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priver3651017750-my.sharepoint.com/personal/sheena_townofdeweybeach_com/Documents/Accounting Supervisor/FY27 Financials/4 - July/"/>
    </mc:Choice>
  </mc:AlternateContent>
  <xr:revisionPtr revIDLastSave="0" documentId="8_{B3183492-A994-4AF5-8711-6DDB0011A64C}" xr6:coauthVersionLast="47" xr6:coauthVersionMax="47" xr10:uidLastSave="{00000000-0000-0000-0000-000000000000}"/>
  <bookViews>
    <workbookView xWindow="-120" yWindow="-120" windowWidth="29040" windowHeight="15720" xr2:uid="{843EBE0D-BC4E-43D8-A95C-597D947BBA62}"/>
  </bookViews>
  <sheets>
    <sheet name="Fin Summary - Operating" sheetId="14" r:id="rId1"/>
    <sheet name="Full Data New" sheetId="17" r:id="rId2"/>
    <sheet name="Capital Expenditures" sheetId="13" state="hidden" r:id="rId3"/>
    <sheet name="Overtime" sheetId="10" state="hidden" r:id="rId4"/>
  </sheets>
  <definedNames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'Fin Summary - Operating'!$B$1:$P$88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4" l="1"/>
  <c r="L6" i="14"/>
  <c r="E10" i="14"/>
  <c r="E8" i="14"/>
  <c r="E6" i="14"/>
  <c r="D14" i="17"/>
  <c r="I10" i="14" s="1"/>
  <c r="B14" i="17"/>
  <c r="B10" i="14" s="1"/>
  <c r="H17" i="17"/>
  <c r="H16" i="17"/>
  <c r="H15" i="17"/>
  <c r="F17" i="17"/>
  <c r="F16" i="17"/>
  <c r="F15" i="17"/>
  <c r="D17" i="17"/>
  <c r="D16" i="17"/>
  <c r="B17" i="17"/>
  <c r="B16" i="17"/>
  <c r="K158" i="17"/>
  <c r="K239" i="17"/>
  <c r="K180" i="17"/>
  <c r="K207" i="17"/>
  <c r="K197" i="17"/>
  <c r="L239" i="17"/>
  <c r="I55" i="14"/>
  <c r="K212" i="17"/>
  <c r="K117" i="17"/>
  <c r="K99" i="17"/>
  <c r="K61" i="17"/>
  <c r="K44" i="17"/>
  <c r="J25" i="14"/>
  <c r="I25" i="14"/>
  <c r="C13" i="14"/>
  <c r="J13" i="14"/>
  <c r="I13" i="14"/>
  <c r="B13" i="14"/>
  <c r="L29" i="14"/>
  <c r="L30" i="14"/>
  <c r="L36" i="14"/>
  <c r="J55" i="14"/>
  <c r="C55" i="14"/>
  <c r="C56" i="14" s="1"/>
  <c r="B55" i="14"/>
  <c r="C24" i="14"/>
  <c r="C25" i="14"/>
  <c r="B25" i="14"/>
  <c r="J24" i="14"/>
  <c r="J28" i="14"/>
  <c r="J29" i="14"/>
  <c r="J30" i="14"/>
  <c r="J33" i="14"/>
  <c r="J34" i="14"/>
  <c r="J35" i="14"/>
  <c r="J36" i="14"/>
  <c r="J39" i="14"/>
  <c r="J40" i="14"/>
  <c r="J41" i="14"/>
  <c r="J44" i="14"/>
  <c r="J47" i="14" s="1"/>
  <c r="J45" i="14"/>
  <c r="J46" i="14"/>
  <c r="J49" i="14"/>
  <c r="J51" i="14"/>
  <c r="J53" i="14"/>
  <c r="J54" i="14"/>
  <c r="I54" i="14"/>
  <c r="I53" i="14"/>
  <c r="L53" i="14" s="1"/>
  <c r="I51" i="14"/>
  <c r="L51" i="14" s="1"/>
  <c r="I49" i="14"/>
  <c r="L49" i="14" s="1"/>
  <c r="I46" i="14"/>
  <c r="I45" i="14"/>
  <c r="L45" i="14" s="1"/>
  <c r="I44" i="14"/>
  <c r="I47" i="14" s="1"/>
  <c r="I41" i="14"/>
  <c r="I40" i="14"/>
  <c r="L40" i="14" s="1"/>
  <c r="I39" i="14"/>
  <c r="I42" i="14" s="1"/>
  <c r="I36" i="14"/>
  <c r="I35" i="14"/>
  <c r="L35" i="14" s="1"/>
  <c r="I34" i="14"/>
  <c r="L34" i="14" s="1"/>
  <c r="I33" i="14"/>
  <c r="L33" i="14" s="1"/>
  <c r="I30" i="14"/>
  <c r="I29" i="14"/>
  <c r="I28" i="14"/>
  <c r="I31" i="14" s="1"/>
  <c r="I24" i="14"/>
  <c r="L24" i="14" s="1"/>
  <c r="C28" i="14"/>
  <c r="C29" i="14"/>
  <c r="C30" i="14"/>
  <c r="C33" i="14"/>
  <c r="C34" i="14"/>
  <c r="C35" i="14"/>
  <c r="C36" i="14"/>
  <c r="C37" i="14"/>
  <c r="C39" i="14"/>
  <c r="C40" i="14"/>
  <c r="C41" i="14"/>
  <c r="C44" i="14"/>
  <c r="C45" i="14"/>
  <c r="C46" i="14"/>
  <c r="C49" i="14"/>
  <c r="C51" i="14"/>
  <c r="C53" i="14"/>
  <c r="C54" i="14"/>
  <c r="B54" i="14"/>
  <c r="B53" i="14"/>
  <c r="B51" i="14"/>
  <c r="B49" i="14"/>
  <c r="B46" i="14"/>
  <c r="B45" i="14"/>
  <c r="B44" i="14"/>
  <c r="B41" i="14"/>
  <c r="B40" i="14"/>
  <c r="B39" i="14"/>
  <c r="B36" i="14"/>
  <c r="B35" i="14"/>
  <c r="B108" i="17"/>
  <c r="B34" i="14"/>
  <c r="B33" i="14"/>
  <c r="B24" i="14"/>
  <c r="B30" i="14"/>
  <c r="B29" i="14"/>
  <c r="B28" i="14"/>
  <c r="C6" i="14"/>
  <c r="C7" i="14"/>
  <c r="C8" i="14"/>
  <c r="C9" i="14"/>
  <c r="C10" i="14"/>
  <c r="C11" i="14"/>
  <c r="C12" i="14"/>
  <c r="C18" i="14" s="1"/>
  <c r="B12" i="14"/>
  <c r="B11" i="14"/>
  <c r="B9" i="14"/>
  <c r="B8" i="14"/>
  <c r="B18" i="14" s="1"/>
  <c r="E18" i="14" s="1"/>
  <c r="B7" i="14"/>
  <c r="B6" i="14"/>
  <c r="J6" i="14"/>
  <c r="J7" i="14"/>
  <c r="J8" i="14"/>
  <c r="J9" i="14"/>
  <c r="J10" i="14"/>
  <c r="J11" i="14"/>
  <c r="J12" i="14"/>
  <c r="I12" i="14"/>
  <c r="I11" i="14"/>
  <c r="I9" i="14"/>
  <c r="I8" i="14"/>
  <c r="I7" i="14"/>
  <c r="I6" i="14"/>
  <c r="N18" i="14"/>
  <c r="N17" i="14"/>
  <c r="G55" i="17"/>
  <c r="E55" i="17"/>
  <c r="E54" i="17" s="1"/>
  <c r="D55" i="17"/>
  <c r="D54" i="17" s="1"/>
  <c r="C55" i="17"/>
  <c r="C54" i="17" s="1"/>
  <c r="B55" i="17"/>
  <c r="B54" i="17" s="1"/>
  <c r="G54" i="17"/>
  <c r="G53" i="17"/>
  <c r="E53" i="17"/>
  <c r="D53" i="17"/>
  <c r="C53" i="17"/>
  <c r="B53" i="17"/>
  <c r="G52" i="17"/>
  <c r="E52" i="17"/>
  <c r="D52" i="17"/>
  <c r="C52" i="17"/>
  <c r="B52" i="17"/>
  <c r="G51" i="17"/>
  <c r="E51" i="17"/>
  <c r="D51" i="17"/>
  <c r="C51" i="17"/>
  <c r="B51" i="17"/>
  <c r="G50" i="17"/>
  <c r="E50" i="17"/>
  <c r="C50" i="17"/>
  <c r="G49" i="17"/>
  <c r="E49" i="17"/>
  <c r="D49" i="17"/>
  <c r="C49" i="17"/>
  <c r="B49" i="17"/>
  <c r="G48" i="17"/>
  <c r="G56" i="17" s="1"/>
  <c r="E48" i="17"/>
  <c r="E56" i="17" s="1"/>
  <c r="D48" i="17"/>
  <c r="C48" i="17"/>
  <c r="C56" i="17" s="1"/>
  <c r="B48" i="17"/>
  <c r="D50" i="17" l="1"/>
  <c r="H50" i="17" s="1"/>
  <c r="B50" i="17"/>
  <c r="B56" i="17"/>
  <c r="L47" i="14"/>
  <c r="J37" i="14"/>
  <c r="L28" i="14"/>
  <c r="L54" i="14"/>
  <c r="J31" i="14"/>
  <c r="L31" i="14" s="1"/>
  <c r="C47" i="14"/>
  <c r="L46" i="14"/>
  <c r="I56" i="14"/>
  <c r="L41" i="14"/>
  <c r="L39" i="14"/>
  <c r="L44" i="14"/>
  <c r="C31" i="14"/>
  <c r="J56" i="14"/>
  <c r="C42" i="14"/>
  <c r="L55" i="14"/>
  <c r="I37" i="14"/>
  <c r="L37" i="14" s="1"/>
  <c r="J42" i="14"/>
  <c r="L42" i="14" s="1"/>
  <c r="C26" i="14"/>
  <c r="L25" i="14"/>
  <c r="I26" i="14"/>
  <c r="J26" i="14"/>
  <c r="F54" i="17"/>
  <c r="H54" i="17"/>
  <c r="F50" i="17"/>
  <c r="D56" i="17"/>
  <c r="H48" i="17"/>
  <c r="F48" i="17"/>
  <c r="L56" i="14" l="1"/>
  <c r="I58" i="14"/>
  <c r="L26" i="14"/>
  <c r="F56" i="17"/>
  <c r="H56" i="17"/>
  <c r="D6" i="14" l="1"/>
  <c r="K6" i="14"/>
  <c r="O6" i="14"/>
  <c r="P6" i="14"/>
  <c r="D7" i="14"/>
  <c r="E7" i="14"/>
  <c r="K7" i="14"/>
  <c r="L7" i="14"/>
  <c r="O7" i="14"/>
  <c r="P7" i="14"/>
  <c r="D8" i="14"/>
  <c r="K8" i="14"/>
  <c r="O8" i="14"/>
  <c r="P8" i="14"/>
  <c r="D9" i="14"/>
  <c r="E9" i="14"/>
  <c r="K9" i="14"/>
  <c r="L9" i="14"/>
  <c r="O9" i="14"/>
  <c r="P9" i="14"/>
  <c r="D10" i="14"/>
  <c r="K10" i="14"/>
  <c r="L10" i="14"/>
  <c r="O10" i="14"/>
  <c r="P10" i="14"/>
  <c r="D11" i="14"/>
  <c r="E11" i="14"/>
  <c r="K11" i="14"/>
  <c r="L11" i="14"/>
  <c r="O11" i="14"/>
  <c r="P11" i="14"/>
  <c r="D12" i="14"/>
  <c r="E12" i="14"/>
  <c r="K12" i="14"/>
  <c r="L12" i="14"/>
  <c r="O12" i="14"/>
  <c r="P12" i="14"/>
  <c r="D13" i="14"/>
  <c r="E13" i="14"/>
  <c r="N13" i="14"/>
  <c r="P13" i="14" s="1"/>
  <c r="B14" i="14"/>
  <c r="C14" i="14"/>
  <c r="I14" i="14"/>
  <c r="J14" i="14"/>
  <c r="N14" i="14"/>
  <c r="B16" i="14"/>
  <c r="B19" i="14" s="1"/>
  <c r="C16" i="14"/>
  <c r="I16" i="14"/>
  <c r="J16" i="14"/>
  <c r="B17" i="14"/>
  <c r="C17" i="14"/>
  <c r="I17" i="14"/>
  <c r="J17" i="14"/>
  <c r="I18" i="14"/>
  <c r="J18" i="14"/>
  <c r="N19" i="14"/>
  <c r="N21" i="14" s="1"/>
  <c r="B23" i="14"/>
  <c r="I23" i="14"/>
  <c r="J23" i="14"/>
  <c r="D24" i="14"/>
  <c r="E24" i="14"/>
  <c r="K24" i="14"/>
  <c r="O24" i="14"/>
  <c r="P24" i="14"/>
  <c r="D25" i="14"/>
  <c r="E25" i="14"/>
  <c r="K25" i="14"/>
  <c r="O25" i="14"/>
  <c r="P25" i="14"/>
  <c r="B26" i="14"/>
  <c r="N26" i="14"/>
  <c r="D28" i="14"/>
  <c r="E28" i="14"/>
  <c r="K28" i="14"/>
  <c r="O28" i="14"/>
  <c r="P28" i="14"/>
  <c r="D29" i="14"/>
  <c r="E29" i="14"/>
  <c r="K29" i="14"/>
  <c r="O29" i="14"/>
  <c r="P29" i="14"/>
  <c r="P30" i="14"/>
  <c r="B31" i="14"/>
  <c r="N31" i="14"/>
  <c r="D33" i="14"/>
  <c r="E33" i="14"/>
  <c r="K33" i="14"/>
  <c r="O33" i="14"/>
  <c r="P33" i="14"/>
  <c r="D34" i="14"/>
  <c r="E34" i="14"/>
  <c r="K34" i="14"/>
  <c r="O34" i="14"/>
  <c r="P34" i="14"/>
  <c r="D35" i="14"/>
  <c r="E35" i="14"/>
  <c r="K35" i="14"/>
  <c r="O35" i="14"/>
  <c r="P35" i="14"/>
  <c r="D36" i="14"/>
  <c r="E36" i="14"/>
  <c r="O36" i="14"/>
  <c r="P36" i="14"/>
  <c r="B37" i="14"/>
  <c r="N37" i="14"/>
  <c r="D39" i="14"/>
  <c r="E39" i="14"/>
  <c r="K39" i="14"/>
  <c r="O39" i="14"/>
  <c r="P39" i="14"/>
  <c r="D40" i="14"/>
  <c r="E40" i="14"/>
  <c r="K40" i="14"/>
  <c r="O40" i="14"/>
  <c r="P40" i="14"/>
  <c r="O41" i="14"/>
  <c r="P41" i="14"/>
  <c r="B42" i="14"/>
  <c r="N42" i="14"/>
  <c r="D44" i="14"/>
  <c r="E44" i="14"/>
  <c r="K44" i="14"/>
  <c r="O44" i="14"/>
  <c r="P44" i="14"/>
  <c r="O45" i="14"/>
  <c r="P45" i="14"/>
  <c r="K46" i="14"/>
  <c r="O46" i="14"/>
  <c r="P46" i="14"/>
  <c r="B47" i="14"/>
  <c r="N47" i="14"/>
  <c r="N58" i="14" s="1"/>
  <c r="N60" i="14" s="1"/>
  <c r="D49" i="14"/>
  <c r="E49" i="14"/>
  <c r="K49" i="14"/>
  <c r="O49" i="14"/>
  <c r="P49" i="14"/>
  <c r="D51" i="14"/>
  <c r="E51" i="14"/>
  <c r="K51" i="14"/>
  <c r="O51" i="14"/>
  <c r="P51" i="14"/>
  <c r="D53" i="14"/>
  <c r="E53" i="14"/>
  <c r="K53" i="14"/>
  <c r="O53" i="14"/>
  <c r="P53" i="14"/>
  <c r="D54" i="14"/>
  <c r="E54" i="14"/>
  <c r="K54" i="14"/>
  <c r="O54" i="14"/>
  <c r="P54" i="14"/>
  <c r="B56" i="14"/>
  <c r="N56" i="14"/>
  <c r="I63" i="14"/>
  <c r="J63" i="14"/>
  <c r="I64" i="14"/>
  <c r="J64" i="14"/>
  <c r="I65" i="14"/>
  <c r="J65" i="14"/>
  <c r="I69" i="14"/>
  <c r="I70" i="14" s="1"/>
  <c r="J69" i="14"/>
  <c r="J70" i="14"/>
  <c r="B81" i="14"/>
  <c r="C81" i="14"/>
  <c r="N81" i="14"/>
  <c r="AQ28" i="10"/>
  <c r="AQ27" i="10"/>
  <c r="AP28" i="10"/>
  <c r="AP27" i="10"/>
  <c r="AM28" i="10"/>
  <c r="AM27" i="10"/>
  <c r="AL28" i="10"/>
  <c r="AL27" i="10"/>
  <c r="AI28" i="10"/>
  <c r="AI27" i="10"/>
  <c r="AH28" i="10"/>
  <c r="AH27" i="10"/>
  <c r="AE28" i="10"/>
  <c r="AE27" i="10"/>
  <c r="AD28" i="10"/>
  <c r="AD27" i="10"/>
  <c r="AA28" i="10"/>
  <c r="AA27" i="10"/>
  <c r="Z28" i="10"/>
  <c r="Z27" i="10"/>
  <c r="W28" i="10"/>
  <c r="W27" i="10"/>
  <c r="V28" i="10"/>
  <c r="V27" i="10"/>
  <c r="S28" i="10"/>
  <c r="S27" i="10"/>
  <c r="R28" i="10"/>
  <c r="R27" i="10"/>
  <c r="O28" i="10"/>
  <c r="O27" i="10"/>
  <c r="N28" i="10"/>
  <c r="N27" i="10"/>
  <c r="K28" i="10"/>
  <c r="K27" i="10"/>
  <c r="J28" i="10"/>
  <c r="J27" i="10"/>
  <c r="G28" i="10"/>
  <c r="G27" i="10"/>
  <c r="F28" i="10"/>
  <c r="F27" i="10"/>
  <c r="C28" i="10"/>
  <c r="C27" i="10"/>
  <c r="B28" i="10"/>
  <c r="B27" i="10"/>
  <c r="AQ14" i="10"/>
  <c r="AQ13" i="10"/>
  <c r="AQ12" i="10"/>
  <c r="AQ11" i="10"/>
  <c r="AQ10" i="10"/>
  <c r="AQ9" i="10"/>
  <c r="AQ8" i="10"/>
  <c r="AQ7" i="10"/>
  <c r="AQ6" i="10"/>
  <c r="AQ5" i="10"/>
  <c r="AP14" i="10"/>
  <c r="AP13" i="10"/>
  <c r="AP12" i="10"/>
  <c r="AP11" i="10"/>
  <c r="AP10" i="10"/>
  <c r="AP9" i="10"/>
  <c r="AP8" i="10"/>
  <c r="AP7" i="10"/>
  <c r="AP6" i="10"/>
  <c r="AP5" i="10"/>
  <c r="AQ4" i="10"/>
  <c r="AP4" i="10"/>
  <c r="AP25" i="10"/>
  <c r="J19" i="14" l="1"/>
  <c r="J21" i="14" s="1"/>
  <c r="E16" i="14"/>
  <c r="I19" i="14"/>
  <c r="L19" i="14" s="1"/>
  <c r="K26" i="14"/>
  <c r="O26" i="14"/>
  <c r="O42" i="14"/>
  <c r="P42" i="14"/>
  <c r="P31" i="14"/>
  <c r="I66" i="14"/>
  <c r="O47" i="14"/>
  <c r="E14" i="14"/>
  <c r="D14" i="14"/>
  <c r="B21" i="14"/>
  <c r="D16" i="14"/>
  <c r="L17" i="14"/>
  <c r="K18" i="14"/>
  <c r="K16" i="14"/>
  <c r="O16" i="14"/>
  <c r="P16" i="14"/>
  <c r="P47" i="14"/>
  <c r="O37" i="14"/>
  <c r="P37" i="14"/>
  <c r="J58" i="14"/>
  <c r="L58" i="14" s="1"/>
  <c r="P26" i="14"/>
  <c r="K17" i="14"/>
  <c r="P19" i="14"/>
  <c r="L14" i="14"/>
  <c r="P14" i="14"/>
  <c r="I21" i="14"/>
  <c r="I60" i="14" s="1"/>
  <c r="P56" i="14"/>
  <c r="E42" i="14"/>
  <c r="D47" i="14"/>
  <c r="E47" i="14"/>
  <c r="C58" i="14"/>
  <c r="D31" i="14"/>
  <c r="E31" i="14"/>
  <c r="D26" i="14"/>
  <c r="E26" i="14"/>
  <c r="B58" i="14"/>
  <c r="D18" i="14"/>
  <c r="C19" i="14"/>
  <c r="J66" i="14"/>
  <c r="K13" i="14"/>
  <c r="K14" i="14" s="1"/>
  <c r="O13" i="14"/>
  <c r="O14" i="14" s="1"/>
  <c r="L13" i="14"/>
  <c r="D17" i="14"/>
  <c r="E17" i="14"/>
  <c r="P17" i="14"/>
  <c r="O17" i="14"/>
  <c r="D30" i="14"/>
  <c r="E30" i="14"/>
  <c r="D37" i="14"/>
  <c r="E37" i="14"/>
  <c r="D41" i="14"/>
  <c r="D42" i="14" s="1"/>
  <c r="E41" i="14"/>
  <c r="K41" i="14"/>
  <c r="K42" i="14" s="1"/>
  <c r="E45" i="14"/>
  <c r="D45" i="14"/>
  <c r="D46" i="14"/>
  <c r="E46" i="14"/>
  <c r="D55" i="14"/>
  <c r="E55" i="14"/>
  <c r="P55" i="14"/>
  <c r="K55" i="14"/>
  <c r="K56" i="14" s="1"/>
  <c r="E56" i="14"/>
  <c r="D56" i="14"/>
  <c r="O18" i="14"/>
  <c r="P18" i="14"/>
  <c r="K30" i="14"/>
  <c r="K31" i="14" s="1"/>
  <c r="O30" i="14"/>
  <c r="O31" i="14" s="1"/>
  <c r="K36" i="14"/>
  <c r="K37" i="14" s="1"/>
  <c r="K45" i="14"/>
  <c r="K47" i="14" s="1"/>
  <c r="O55" i="14"/>
  <c r="O56" i="14" s="1"/>
  <c r="AR14" i="10"/>
  <c r="AR13" i="10"/>
  <c r="AR12" i="10"/>
  <c r="AR11" i="10"/>
  <c r="AP18" i="10"/>
  <c r="AQ18" i="10"/>
  <c r="AR7" i="10"/>
  <c r="AR9" i="10"/>
  <c r="AR8" i="10"/>
  <c r="AR10" i="10"/>
  <c r="AR6" i="10"/>
  <c r="AR5" i="10"/>
  <c r="AQ30" i="10"/>
  <c r="AR4" i="10"/>
  <c r="AR27" i="10"/>
  <c r="AR28" i="10"/>
  <c r="K19" i="14" l="1"/>
  <c r="K21" i="14" s="1"/>
  <c r="D19" i="14"/>
  <c r="D21" i="14" s="1"/>
  <c r="O19" i="14"/>
  <c r="O21" i="14" s="1"/>
  <c r="J60" i="14"/>
  <c r="J73" i="14" s="1"/>
  <c r="K58" i="14"/>
  <c r="O58" i="14"/>
  <c r="P21" i="14"/>
  <c r="L21" i="14"/>
  <c r="B60" i="14"/>
  <c r="D58" i="14"/>
  <c r="E19" i="14"/>
  <c r="C21" i="14"/>
  <c r="AR18" i="10"/>
  <c r="AR20" i="10" s="1"/>
  <c r="AR30" i="10"/>
  <c r="AP30" i="10"/>
  <c r="K60" i="14" l="1"/>
  <c r="I73" i="14"/>
  <c r="O60" i="14"/>
  <c r="C60" i="14"/>
  <c r="D60" i="14" s="1"/>
  <c r="E21" i="14"/>
  <c r="F13" i="13"/>
  <c r="AM14" i="10"/>
  <c r="AM13" i="10"/>
  <c r="AM12" i="10"/>
  <c r="AM11" i="10"/>
  <c r="AM10" i="10"/>
  <c r="AM9" i="10"/>
  <c r="AM8" i="10"/>
  <c r="AM7" i="10"/>
  <c r="AM6" i="10"/>
  <c r="AM5" i="10"/>
  <c r="AM4" i="10"/>
  <c r="AL14" i="10"/>
  <c r="AL13" i="10"/>
  <c r="AL12" i="10"/>
  <c r="AL11" i="10"/>
  <c r="AL10" i="10"/>
  <c r="AL9" i="10"/>
  <c r="AL8" i="10"/>
  <c r="AL7" i="10"/>
  <c r="AL6" i="10"/>
  <c r="AL5" i="10"/>
  <c r="AL4" i="10"/>
  <c r="AL25" i="10"/>
  <c r="AN10" i="10" l="1"/>
  <c r="AN13" i="10"/>
  <c r="AN12" i="10"/>
  <c r="AN14" i="10"/>
  <c r="AN11" i="10"/>
  <c r="AM18" i="10"/>
  <c r="AN27" i="10"/>
  <c r="AN4" i="10"/>
  <c r="AN5" i="10"/>
  <c r="AN9" i="10"/>
  <c r="AN6" i="10"/>
  <c r="AN7" i="10"/>
  <c r="AN8" i="10"/>
  <c r="AM30" i="10"/>
  <c r="AN28" i="10"/>
  <c r="AL18" i="10"/>
  <c r="AN18" i="10" l="1"/>
  <c r="AN20" i="10" s="1"/>
  <c r="AL30" i="10"/>
  <c r="AN30" i="10"/>
  <c r="AI14" i="10" l="1"/>
  <c r="AH14" i="10"/>
  <c r="AI13" i="10"/>
  <c r="AH13" i="10"/>
  <c r="AI12" i="10"/>
  <c r="AH12" i="10"/>
  <c r="AI11" i="10"/>
  <c r="AH11" i="10"/>
  <c r="AI10" i="10"/>
  <c r="AH10" i="10"/>
  <c r="AH9" i="10"/>
  <c r="AI9" i="10"/>
  <c r="AH6" i="10"/>
  <c r="AI6" i="10"/>
  <c r="AH7" i="10"/>
  <c r="AI7" i="10"/>
  <c r="AH8" i="10"/>
  <c r="AI8" i="10"/>
  <c r="AI5" i="10"/>
  <c r="AH5" i="10"/>
  <c r="AI4" i="10"/>
  <c r="AH4" i="10"/>
  <c r="AH25" i="10"/>
  <c r="AJ13" i="10" l="1"/>
  <c r="AJ4" i="10"/>
  <c r="AJ12" i="10"/>
  <c r="AJ10" i="10"/>
  <c r="AJ7" i="10"/>
  <c r="AJ6" i="10"/>
  <c r="AJ14" i="10"/>
  <c r="AJ5" i="10"/>
  <c r="AJ11" i="10"/>
  <c r="AJ9" i="10"/>
  <c r="AJ28" i="10"/>
  <c r="AI18" i="10"/>
  <c r="AH30" i="10"/>
  <c r="AI30" i="10"/>
  <c r="AH18" i="10"/>
  <c r="AJ8" i="10"/>
  <c r="AJ27" i="10"/>
  <c r="AJ18" i="10" l="1"/>
  <c r="AJ20" i="10" s="1"/>
  <c r="AJ30" i="10"/>
  <c r="AD14" i="10" l="1"/>
  <c r="AD13" i="10"/>
  <c r="AD12" i="10"/>
  <c r="AD11" i="10"/>
  <c r="AD10" i="10"/>
  <c r="AD9" i="10"/>
  <c r="AD8" i="10"/>
  <c r="AD7" i="10"/>
  <c r="AD6" i="10"/>
  <c r="AD5" i="10"/>
  <c r="AD4" i="10"/>
  <c r="AE14" i="10"/>
  <c r="AE13" i="10"/>
  <c r="AE12" i="10"/>
  <c r="AE11" i="10"/>
  <c r="AE10" i="10"/>
  <c r="AE9" i="10"/>
  <c r="AE8" i="10"/>
  <c r="AE7" i="10"/>
  <c r="AE6" i="10"/>
  <c r="AE5" i="10"/>
  <c r="AE4" i="10"/>
  <c r="Z14" i="10"/>
  <c r="Z13" i="10"/>
  <c r="Z12" i="10"/>
  <c r="Z11" i="10"/>
  <c r="Z10" i="10"/>
  <c r="Z9" i="10"/>
  <c r="Z8" i="10"/>
  <c r="Z7" i="10"/>
  <c r="Z6" i="10"/>
  <c r="Z5" i="10"/>
  <c r="Z4" i="10"/>
  <c r="AA14" i="10"/>
  <c r="AA13" i="10"/>
  <c r="AA12" i="10"/>
  <c r="AA11" i="10"/>
  <c r="AA10" i="10"/>
  <c r="AA9" i="10"/>
  <c r="AA8" i="10"/>
  <c r="AA7" i="10"/>
  <c r="AA6" i="10"/>
  <c r="AA5" i="10"/>
  <c r="AA4" i="10"/>
  <c r="W14" i="10"/>
  <c r="W13" i="10"/>
  <c r="W12" i="10"/>
  <c r="W11" i="10"/>
  <c r="W10" i="10"/>
  <c r="W9" i="10"/>
  <c r="W8" i="10"/>
  <c r="W7" i="10"/>
  <c r="W6" i="10"/>
  <c r="W5" i="10"/>
  <c r="W4" i="10"/>
  <c r="V14" i="10"/>
  <c r="V13" i="10"/>
  <c r="V12" i="10"/>
  <c r="V11" i="10"/>
  <c r="V10" i="10"/>
  <c r="V9" i="10"/>
  <c r="V8" i="10"/>
  <c r="V7" i="10"/>
  <c r="V6" i="10"/>
  <c r="V5" i="10"/>
  <c r="V4" i="10"/>
  <c r="R14" i="10"/>
  <c r="R13" i="10"/>
  <c r="R12" i="10"/>
  <c r="R11" i="10"/>
  <c r="R10" i="10"/>
  <c r="R9" i="10"/>
  <c r="R8" i="10"/>
  <c r="R7" i="10"/>
  <c r="R6" i="10"/>
  <c r="R5" i="10"/>
  <c r="R4" i="10"/>
  <c r="S14" i="10"/>
  <c r="S13" i="10"/>
  <c r="S12" i="10"/>
  <c r="S11" i="10"/>
  <c r="S10" i="10"/>
  <c r="S9" i="10"/>
  <c r="S8" i="10"/>
  <c r="S7" i="10"/>
  <c r="S6" i="10"/>
  <c r="S5" i="10"/>
  <c r="S4" i="10"/>
  <c r="N14" i="10"/>
  <c r="N13" i="10"/>
  <c r="N12" i="10"/>
  <c r="N11" i="10"/>
  <c r="N10" i="10"/>
  <c r="N9" i="10"/>
  <c r="N8" i="10"/>
  <c r="N7" i="10"/>
  <c r="N6" i="10"/>
  <c r="N5" i="10"/>
  <c r="N4" i="10"/>
  <c r="O14" i="10"/>
  <c r="O13" i="10"/>
  <c r="O12" i="10"/>
  <c r="O11" i="10"/>
  <c r="O10" i="10"/>
  <c r="O9" i="10"/>
  <c r="O8" i="10"/>
  <c r="O7" i="10"/>
  <c r="O6" i="10"/>
  <c r="O5" i="10"/>
  <c r="O4" i="10"/>
  <c r="J14" i="10"/>
  <c r="J13" i="10"/>
  <c r="J12" i="10"/>
  <c r="J11" i="10"/>
  <c r="J10" i="10"/>
  <c r="J9" i="10"/>
  <c r="J8" i="10"/>
  <c r="J7" i="10"/>
  <c r="J6" i="10"/>
  <c r="J5" i="10"/>
  <c r="J4" i="10"/>
  <c r="K14" i="10"/>
  <c r="K13" i="10"/>
  <c r="K12" i="10"/>
  <c r="K11" i="10"/>
  <c r="K10" i="10"/>
  <c r="K9" i="10"/>
  <c r="K8" i="10"/>
  <c r="K7" i="10"/>
  <c r="K6" i="10"/>
  <c r="K5" i="10"/>
  <c r="K4" i="10"/>
  <c r="F14" i="10"/>
  <c r="F13" i="10"/>
  <c r="F12" i="10"/>
  <c r="F11" i="10"/>
  <c r="F10" i="10"/>
  <c r="F9" i="10"/>
  <c r="F8" i="10"/>
  <c r="F7" i="10"/>
  <c r="F6" i="10"/>
  <c r="F5" i="10"/>
  <c r="F4" i="10"/>
  <c r="G14" i="10"/>
  <c r="G13" i="10"/>
  <c r="G12" i="10"/>
  <c r="G11" i="10"/>
  <c r="G10" i="10"/>
  <c r="G9" i="10"/>
  <c r="G8" i="10"/>
  <c r="G7" i="10"/>
  <c r="G6" i="10"/>
  <c r="G5" i="10"/>
  <c r="G4" i="10"/>
  <c r="C14" i="10"/>
  <c r="C13" i="10"/>
  <c r="C12" i="10"/>
  <c r="C11" i="10"/>
  <c r="C10" i="10"/>
  <c r="C9" i="10"/>
  <c r="C8" i="10"/>
  <c r="C7" i="10"/>
  <c r="C6" i="10"/>
  <c r="C5" i="10"/>
  <c r="B14" i="10"/>
  <c r="B13" i="10"/>
  <c r="B12" i="10"/>
  <c r="B11" i="10"/>
  <c r="B10" i="10"/>
  <c r="B9" i="10"/>
  <c r="B8" i="10"/>
  <c r="B7" i="10"/>
  <c r="B6" i="10"/>
  <c r="B5" i="10"/>
  <c r="C4" i="10"/>
  <c r="B4" i="10"/>
  <c r="AT11" i="10" l="1"/>
  <c r="AT12" i="10"/>
  <c r="AT13" i="10"/>
  <c r="AT5" i="10"/>
  <c r="AT14" i="10"/>
  <c r="AT7" i="10"/>
  <c r="AT8" i="10"/>
  <c r="AT9" i="10"/>
  <c r="AT4" i="10"/>
  <c r="AT6" i="10"/>
  <c r="AT10" i="10"/>
  <c r="AD30" i="10"/>
  <c r="AE30" i="10"/>
  <c r="AF28" i="10" l="1"/>
  <c r="AF27" i="10"/>
  <c r="AE18" i="10"/>
  <c r="AD18" i="10"/>
  <c r="AF14" i="10"/>
  <c r="AF13" i="10"/>
  <c r="AF12" i="10"/>
  <c r="AF11" i="10"/>
  <c r="AF10" i="10"/>
  <c r="AF9" i="10"/>
  <c r="AF8" i="10"/>
  <c r="AF7" i="10"/>
  <c r="AF6" i="10"/>
  <c r="AF5" i="10"/>
  <c r="AF4" i="10"/>
  <c r="AF30" i="10" l="1"/>
  <c r="AF18" i="10"/>
  <c r="AF20" i="10" s="1"/>
  <c r="D231" i="13" l="1"/>
  <c r="D195" i="13"/>
  <c r="D158" i="13"/>
  <c r="D102" i="13"/>
  <c r="D58" i="13"/>
  <c r="D67" i="13" s="1"/>
  <c r="D38" i="13"/>
  <c r="D32" i="13"/>
  <c r="D28" i="13"/>
  <c r="D13" i="13"/>
  <c r="D52" i="13" l="1"/>
  <c r="AA30" i="10" l="1"/>
  <c r="Z30" i="10"/>
  <c r="AB28" i="10"/>
  <c r="AB27" i="10"/>
  <c r="AA18" i="10"/>
  <c r="Z18" i="10"/>
  <c r="AB14" i="10"/>
  <c r="AB13" i="10"/>
  <c r="AB12" i="10"/>
  <c r="AB11" i="10"/>
  <c r="AB10" i="10"/>
  <c r="AB9" i="10"/>
  <c r="AB8" i="10"/>
  <c r="AB7" i="10"/>
  <c r="AB6" i="10"/>
  <c r="AB5" i="10"/>
  <c r="AB4" i="10"/>
  <c r="AB30" i="10" l="1"/>
  <c r="AB18" i="10"/>
  <c r="AB20" i="10" s="1"/>
  <c r="W30" i="10" l="1"/>
  <c r="V30" i="10"/>
  <c r="X28" i="10"/>
  <c r="X27" i="10"/>
  <c r="W18" i="10"/>
  <c r="V18" i="10"/>
  <c r="X14" i="10"/>
  <c r="X13" i="10"/>
  <c r="X12" i="10"/>
  <c r="X11" i="10"/>
  <c r="X10" i="10"/>
  <c r="X9" i="10"/>
  <c r="X8" i="10"/>
  <c r="X7" i="10"/>
  <c r="X6" i="10"/>
  <c r="X5" i="10"/>
  <c r="X4" i="10"/>
  <c r="X30" i="10" l="1"/>
  <c r="X18" i="10"/>
  <c r="X20" i="10" s="1"/>
  <c r="S30" i="10"/>
  <c r="R30" i="10"/>
  <c r="O30" i="10"/>
  <c r="N30" i="10"/>
  <c r="K30" i="10"/>
  <c r="J30" i="10"/>
  <c r="G30" i="10"/>
  <c r="F30" i="10"/>
  <c r="C30" i="10"/>
  <c r="B30" i="10"/>
  <c r="T28" i="10"/>
  <c r="P28" i="10"/>
  <c r="L28" i="10"/>
  <c r="H28" i="10"/>
  <c r="D28" i="10"/>
  <c r="T27" i="10"/>
  <c r="P27" i="10"/>
  <c r="L27" i="10"/>
  <c r="H27" i="10"/>
  <c r="D27" i="10"/>
  <c r="S18" i="10"/>
  <c r="R18" i="10"/>
  <c r="O18" i="10"/>
  <c r="N18" i="10"/>
  <c r="K18" i="10"/>
  <c r="J18" i="10"/>
  <c r="G18" i="10"/>
  <c r="F18" i="10"/>
  <c r="C18" i="10"/>
  <c r="B18" i="10"/>
  <c r="T14" i="10"/>
  <c r="P14" i="10"/>
  <c r="L14" i="10"/>
  <c r="H14" i="10"/>
  <c r="D14" i="10"/>
  <c r="T13" i="10"/>
  <c r="P13" i="10"/>
  <c r="L13" i="10"/>
  <c r="H13" i="10"/>
  <c r="D13" i="10"/>
  <c r="T12" i="10"/>
  <c r="P12" i="10"/>
  <c r="L12" i="10"/>
  <c r="H12" i="10"/>
  <c r="D12" i="10"/>
  <c r="T11" i="10"/>
  <c r="P11" i="10"/>
  <c r="L11" i="10"/>
  <c r="H11" i="10"/>
  <c r="D11" i="10"/>
  <c r="T10" i="10"/>
  <c r="P10" i="10"/>
  <c r="L10" i="10"/>
  <c r="H10" i="10"/>
  <c r="D10" i="10"/>
  <c r="T9" i="10"/>
  <c r="P9" i="10"/>
  <c r="L9" i="10"/>
  <c r="H9" i="10"/>
  <c r="D9" i="10"/>
  <c r="T8" i="10"/>
  <c r="P8" i="10"/>
  <c r="L8" i="10"/>
  <c r="H8" i="10"/>
  <c r="D8" i="10"/>
  <c r="T7" i="10"/>
  <c r="P7" i="10"/>
  <c r="L7" i="10"/>
  <c r="H7" i="10"/>
  <c r="D7" i="10"/>
  <c r="T6" i="10"/>
  <c r="P6" i="10"/>
  <c r="L6" i="10"/>
  <c r="H6" i="10"/>
  <c r="D6" i="10"/>
  <c r="T5" i="10"/>
  <c r="P5" i="10"/>
  <c r="L5" i="10"/>
  <c r="H5" i="10"/>
  <c r="D5" i="10"/>
  <c r="T4" i="10"/>
  <c r="P4" i="10"/>
  <c r="L4" i="10"/>
  <c r="H4" i="10"/>
  <c r="D4" i="10"/>
  <c r="T18" i="10" l="1"/>
  <c r="T20" i="10" s="1"/>
  <c r="T30" i="10"/>
  <c r="L18" i="10"/>
  <c r="L20" i="10" s="1"/>
  <c r="P30" i="10"/>
  <c r="D18" i="10"/>
  <c r="P18" i="10"/>
  <c r="P20" i="10" s="1"/>
  <c r="L30" i="10"/>
  <c r="D30" i="10"/>
  <c r="H30" i="10"/>
  <c r="H18" i="10"/>
  <c r="H20" i="10" s="1"/>
  <c r="AT18" i="10" l="1"/>
  <c r="AT20" i="10" s="1"/>
  <c r="D20" i="10"/>
</calcChain>
</file>

<file path=xl/sharedStrings.xml><?xml version="1.0" encoding="utf-8"?>
<sst xmlns="http://schemas.openxmlformats.org/spreadsheetml/2006/main" count="1239" uniqueCount="649">
  <si>
    <t>Insurance</t>
  </si>
  <si>
    <t>Storm Water / Street Flooding</t>
  </si>
  <si>
    <t xml:space="preserve"> </t>
  </si>
  <si>
    <t>Total Alderman Court Expenses</t>
  </si>
  <si>
    <t>Total Parking Enforcement Expenses</t>
  </si>
  <si>
    <t>Total Administration Expenses</t>
  </si>
  <si>
    <t>Donations</t>
  </si>
  <si>
    <t>SLEAF</t>
  </si>
  <si>
    <t>Hotel Tax</t>
  </si>
  <si>
    <t>Transfer Tax</t>
  </si>
  <si>
    <t>Revenue</t>
  </si>
  <si>
    <t>Description</t>
  </si>
  <si>
    <t>Town Street Projects</t>
  </si>
  <si>
    <t>Police Extra Duty - Pay Jobs</t>
  </si>
  <si>
    <t>Police Grant Duty</t>
  </si>
  <si>
    <t>Rental Expense</t>
  </si>
  <si>
    <t>Expenses</t>
  </si>
  <si>
    <t>Total Revenue</t>
  </si>
  <si>
    <t>UNAUDITED</t>
  </si>
  <si>
    <t>Monthly</t>
  </si>
  <si>
    <t>Budget</t>
  </si>
  <si>
    <t>$OverBud</t>
  </si>
  <si>
    <t>% of Budget</t>
  </si>
  <si>
    <t>% of  YTD Budget</t>
  </si>
  <si>
    <t>Annual Budget</t>
  </si>
  <si>
    <t>% of Annual Budget</t>
  </si>
  <si>
    <t>Accommodation Tax</t>
  </si>
  <si>
    <t>Business Licenses</t>
  </si>
  <si>
    <t>Parking Permits &amp; Meters</t>
  </si>
  <si>
    <t>Building Permits</t>
  </si>
  <si>
    <t>Total Fines</t>
  </si>
  <si>
    <t>All Other Revenue</t>
  </si>
  <si>
    <t>Allocations</t>
  </si>
  <si>
    <t>Net Revenues</t>
  </si>
  <si>
    <t xml:space="preserve">Town Administrative Expenses </t>
  </si>
  <si>
    <t>Town Operating Expenses</t>
  </si>
  <si>
    <t>Total Town Expenses</t>
  </si>
  <si>
    <t>Admin Employee Expenses</t>
  </si>
  <si>
    <t>Seasonal Admin Employee Expenses</t>
  </si>
  <si>
    <t>All Other Admin Expense</t>
  </si>
  <si>
    <t>Police Employee Expenses</t>
  </si>
  <si>
    <t>Police Admin Employee Expenses</t>
  </si>
  <si>
    <t>Seasonal Police Employee Expenses</t>
  </si>
  <si>
    <t>All Other Police Expenses</t>
  </si>
  <si>
    <t>Total Police Expenses</t>
  </si>
  <si>
    <t>Maintenance Employee Expenses</t>
  </si>
  <si>
    <t>Seasonal Maintenance Employee Expenses</t>
  </si>
  <si>
    <t>All Other Maintenance Expenses</t>
  </si>
  <si>
    <t>Total Maintenance Expenses</t>
  </si>
  <si>
    <t>Parking Enforcement Employee Expenses</t>
  </si>
  <si>
    <t>Seasonal Parking Employee Expenses</t>
  </si>
  <si>
    <t>All Other Parking Enforcement Expenses</t>
  </si>
  <si>
    <t>Total BuildingOfficial Expenses</t>
  </si>
  <si>
    <t>Lifeguard Employee Expenses</t>
  </si>
  <si>
    <t>Seasonal Lifeguard Employee Expenses</t>
  </si>
  <si>
    <t>All Other Lifeguard &amp; LSS Expense</t>
  </si>
  <si>
    <t>Total Lifeguard &amp; LSS Expenses</t>
  </si>
  <si>
    <t>Total Expense</t>
  </si>
  <si>
    <t>Net Operating Budget Performance</t>
  </si>
  <si>
    <t>Set Asides:</t>
  </si>
  <si>
    <t>Transfer to Streets / Infrastructure</t>
  </si>
  <si>
    <t>3% Transfer Tax</t>
  </si>
  <si>
    <t>20% Building Permits</t>
  </si>
  <si>
    <t>5% Daily &amp; Seasonal Permits</t>
  </si>
  <si>
    <t>Total to Streets / Infrastructure</t>
  </si>
  <si>
    <t>Capital Improvements</t>
  </si>
  <si>
    <t>Hotel Tax (50%)</t>
  </si>
  <si>
    <t>Total for Captial Improvements</t>
  </si>
  <si>
    <t>Net Operations</t>
  </si>
  <si>
    <t>Building Permints - to Streets &amp; Infrastructure</t>
  </si>
  <si>
    <t>Hotel Tax - to Capital Improvements - Town Hall</t>
  </si>
  <si>
    <t>Annual FY26</t>
  </si>
  <si>
    <t>Difference</t>
  </si>
  <si>
    <t>Overtime</t>
  </si>
  <si>
    <t>April</t>
  </si>
  <si>
    <t>May</t>
  </si>
  <si>
    <t>June</t>
  </si>
  <si>
    <t>July</t>
  </si>
  <si>
    <t>August</t>
  </si>
  <si>
    <t>Total Overtime</t>
  </si>
  <si>
    <t>Department</t>
  </si>
  <si>
    <t>Actual</t>
  </si>
  <si>
    <t>Budgeted</t>
  </si>
  <si>
    <t>YTD</t>
  </si>
  <si>
    <t>Administration</t>
  </si>
  <si>
    <t>Police - OT</t>
  </si>
  <si>
    <t>Police- Pay Jobs</t>
  </si>
  <si>
    <t>Police- Additional Coverage</t>
  </si>
  <si>
    <t>Police- Grant OT</t>
  </si>
  <si>
    <t>Police Admin - OT</t>
  </si>
  <si>
    <t>Police - Seasonal OT</t>
  </si>
  <si>
    <t>Streets / Maintenance - OT</t>
  </si>
  <si>
    <t>Parking Enforcement - OT</t>
  </si>
  <si>
    <t>Parking Enforcement - Seasonal OT</t>
  </si>
  <si>
    <t>Beach Patrol - Seasonal OT</t>
  </si>
  <si>
    <t>Reimbursements</t>
  </si>
  <si>
    <t>Category</t>
  </si>
  <si>
    <t>NOTES:</t>
  </si>
  <si>
    <t>Billed businesses for May &amp; June coverage 07.06.25</t>
  </si>
  <si>
    <t>Grant Duty is not really budgetable, but is fully reimbursed</t>
  </si>
  <si>
    <t>Beach Patrol OT was not budgeted until end of season, however more coverage has been used to make sure beaches fully protected</t>
  </si>
  <si>
    <t>July &amp; August pay jobs billed beginning of September</t>
  </si>
  <si>
    <t>September</t>
  </si>
  <si>
    <t>September pay jobs billed beginning of October</t>
  </si>
  <si>
    <t>October</t>
  </si>
  <si>
    <t>October Pay Jobs billed November</t>
  </si>
  <si>
    <t>Town Hall Property Expense</t>
  </si>
  <si>
    <t>Date</t>
  </si>
  <si>
    <t>Vendor</t>
  </si>
  <si>
    <t>Amount</t>
  </si>
  <si>
    <t>How Covered</t>
  </si>
  <si>
    <t>06.08.25</t>
  </si>
  <si>
    <t>Beacon Engineering</t>
  </si>
  <si>
    <t>Jersey Street Project</t>
  </si>
  <si>
    <t>Capital Expenditures - Streets</t>
  </si>
  <si>
    <t>06.10.25</t>
  </si>
  <si>
    <t>JMT</t>
  </si>
  <si>
    <t>Van Dyke Avenue</t>
  </si>
  <si>
    <t>10.02.252</t>
  </si>
  <si>
    <t>Apple Electric</t>
  </si>
  <si>
    <t>Read Street Pump Electric</t>
  </si>
  <si>
    <t>09.01.25</t>
  </si>
  <si>
    <t>Advantech</t>
  </si>
  <si>
    <t>Dickenson Digital Cameras</t>
  </si>
  <si>
    <t>05.08.25</t>
  </si>
  <si>
    <t>On The Mark Locators</t>
  </si>
  <si>
    <t>Locate electric on island on Rt 1</t>
  </si>
  <si>
    <t>04.22.25</t>
  </si>
  <si>
    <t>Williscot</t>
  </si>
  <si>
    <t>Trailer Rental - Parking Enforcement</t>
  </si>
  <si>
    <t>Capital Expenditures - Town Hall</t>
  </si>
  <si>
    <t>05.20.25</t>
  </si>
  <si>
    <t>06.17.25</t>
  </si>
  <si>
    <t>07.15.25</t>
  </si>
  <si>
    <t>08.12.25</t>
  </si>
  <si>
    <t>09.09.25</t>
  </si>
  <si>
    <t>10.07.25</t>
  </si>
  <si>
    <t>04.03.25</t>
  </si>
  <si>
    <t>Carter Machinery</t>
  </si>
  <si>
    <t>Read Street</t>
  </si>
  <si>
    <t>04.06.25</t>
  </si>
  <si>
    <t>Jersey Street</t>
  </si>
  <si>
    <t>05.09.25</t>
  </si>
  <si>
    <t>06.11.25</t>
  </si>
  <si>
    <t>A.P. Croll &amp; Son</t>
  </si>
  <si>
    <t>09.05.25</t>
  </si>
  <si>
    <t>10.28.25</t>
  </si>
  <si>
    <t>Nuttle Lumber</t>
  </si>
  <si>
    <t>Dagsworthy Street Project / Dune Crossing</t>
  </si>
  <si>
    <t>10.30.25</t>
  </si>
  <si>
    <t>10.31.25</t>
  </si>
  <si>
    <t>227 Rent</t>
  </si>
  <si>
    <t>State of Delaware</t>
  </si>
  <si>
    <t>Monigle Park - Suaqueous Land Lease</t>
  </si>
  <si>
    <t>Annual Budget Item</t>
  </si>
  <si>
    <t>08.01.25</t>
  </si>
  <si>
    <t>Shore Distributors</t>
  </si>
  <si>
    <t>Read Street Storm Sewer</t>
  </si>
  <si>
    <t>Hyatt Boardwalk</t>
  </si>
  <si>
    <t>Administration - Building Maintenance</t>
  </si>
  <si>
    <t>04.29.25</t>
  </si>
  <si>
    <t>Home Depot</t>
  </si>
  <si>
    <t>Kitchen sink</t>
  </si>
  <si>
    <t>05.12.25</t>
  </si>
  <si>
    <t>Amazon</t>
  </si>
  <si>
    <t>Security Cards for building entrance</t>
  </si>
  <si>
    <t>05.15.25</t>
  </si>
  <si>
    <t>WiFi Door Alarm System</t>
  </si>
  <si>
    <t>Keypad Door Locks</t>
  </si>
  <si>
    <t>05.22.25</t>
  </si>
  <si>
    <t>Lights</t>
  </si>
  <si>
    <t>BFPE</t>
  </si>
  <si>
    <t>Fire extinquisher service</t>
  </si>
  <si>
    <t>07.01.25</t>
  </si>
  <si>
    <t>Security Alarm System Signs</t>
  </si>
  <si>
    <t>4' Ladder</t>
  </si>
  <si>
    <t>Air Duct Register &amp; tape</t>
  </si>
  <si>
    <t>08.21.25</t>
  </si>
  <si>
    <t>08.28.25</t>
  </si>
  <si>
    <t>Curtis Engine &amp; Equipment</t>
  </si>
  <si>
    <t>Generator maintenance</t>
  </si>
  <si>
    <t>Wall-mount key box</t>
  </si>
  <si>
    <t>09.06.25</t>
  </si>
  <si>
    <t>Water Leak</t>
  </si>
  <si>
    <t>09.08.25</t>
  </si>
  <si>
    <t>Walmart</t>
  </si>
  <si>
    <t>09.10.25</t>
  </si>
  <si>
    <t>09.15.25</t>
  </si>
  <si>
    <t>Harbor Freight</t>
  </si>
  <si>
    <t>Quick Release Drill</t>
  </si>
  <si>
    <t>09.17.25</t>
  </si>
  <si>
    <t>Picture hangers</t>
  </si>
  <si>
    <t>Gutter clean out.</t>
  </si>
  <si>
    <t>Proactive Electric</t>
  </si>
  <si>
    <t>Electric for new dispatch equipment</t>
  </si>
  <si>
    <t>Capital Expenditures - Building Maintenance</t>
  </si>
  <si>
    <t>06.01.25</t>
  </si>
  <si>
    <t>First State Land Clearing</t>
  </si>
  <si>
    <t>Put camera on top of building</t>
  </si>
  <si>
    <t>09.03.25</t>
  </si>
  <si>
    <t>Compliance Environmental</t>
  </si>
  <si>
    <t>Air Quality Testing</t>
  </si>
  <si>
    <t>Police Innovations</t>
  </si>
  <si>
    <t>2 - 40" Detention Benches</t>
  </si>
  <si>
    <t>Managed Access Control Services</t>
  </si>
  <si>
    <t>10.15.25</t>
  </si>
  <si>
    <t>ServPro of Hockessen</t>
  </si>
  <si>
    <t>Mold Remediation</t>
  </si>
  <si>
    <t>Administration - Equipment / Asset - Depreciable</t>
  </si>
  <si>
    <t>04.08.25</t>
  </si>
  <si>
    <t>GMB</t>
  </si>
  <si>
    <t>Dewey Beach Town Hall Civil Design-Bid-CA</t>
  </si>
  <si>
    <t>04.11.25</t>
  </si>
  <si>
    <t>04.16.25</t>
  </si>
  <si>
    <t>Mid South Audio LLC</t>
  </si>
  <si>
    <t>Sony FW75EZ20L 75" and Sony 50" 3840X2160</t>
  </si>
  <si>
    <t>Sussex County - Permits</t>
  </si>
  <si>
    <t>New Town Hall Building Permit</t>
  </si>
  <si>
    <t>05.23.25</t>
  </si>
  <si>
    <t>CSI</t>
  </si>
  <si>
    <t>Townhall project</t>
  </si>
  <si>
    <t>05.27.25</t>
  </si>
  <si>
    <t>Magnum Electronics, Inc</t>
  </si>
  <si>
    <t>New Equipment for Town Hall</t>
  </si>
  <si>
    <t>05.28.25</t>
  </si>
  <si>
    <t>06.06.25</t>
  </si>
  <si>
    <t>Costello Construction</t>
  </si>
  <si>
    <t>First draw for construction of town hall.</t>
  </si>
  <si>
    <t>06.13.25</t>
  </si>
  <si>
    <t>06.16.25</t>
  </si>
  <si>
    <t>06.25.25</t>
  </si>
  <si>
    <t>ThinkSecureNet</t>
  </si>
  <si>
    <t>Sales Order #3385: Dewey Beach Town Hall &amp; Police Department-Data Cable Installation quote 19623</t>
  </si>
  <si>
    <t>06.27.25</t>
  </si>
  <si>
    <t>Dewey Beach Town Hall Civil Design-Bid-CA Invoice dated 6/4/.25 service for May 2025</t>
  </si>
  <si>
    <t>07.03.25</t>
  </si>
  <si>
    <t>07.11.25</t>
  </si>
  <si>
    <t>07.12.25</t>
  </si>
  <si>
    <t>07.25.25</t>
  </si>
  <si>
    <t>07.28.25</t>
  </si>
  <si>
    <t>Strategic Insurance Partners</t>
  </si>
  <si>
    <t>1505 Coastal Hwy Construction</t>
  </si>
  <si>
    <t>08.08.25</t>
  </si>
  <si>
    <t>08.15.25</t>
  </si>
  <si>
    <t>08.22.25</t>
  </si>
  <si>
    <t>08.26.25</t>
  </si>
  <si>
    <t>08.29.25</t>
  </si>
  <si>
    <t>09.12.25</t>
  </si>
  <si>
    <t>09.26.25</t>
  </si>
  <si>
    <t>10.01.25</t>
  </si>
  <si>
    <t>10.03.25</t>
  </si>
  <si>
    <t>10.17.25</t>
  </si>
  <si>
    <t>10.22.25</t>
  </si>
  <si>
    <t>Actual access system current &amp; new building</t>
  </si>
  <si>
    <t>10.24.25</t>
  </si>
  <si>
    <t>PD - Equipment / Asset Purchase</t>
  </si>
  <si>
    <t>04.05.25</t>
  </si>
  <si>
    <t>Staples</t>
  </si>
  <si>
    <t>NetGear Switch</t>
  </si>
  <si>
    <t>Earpiece</t>
  </si>
  <si>
    <t>External Harddrive</t>
  </si>
  <si>
    <t>04.15.25</t>
  </si>
  <si>
    <t>CDW Government</t>
  </si>
  <si>
    <t>Brother Pocket Jet 8 Thermal Printer/Brother Part Number PJ822 Brother Car adapter Cig Plug</t>
  </si>
  <si>
    <t>04.17.25</t>
  </si>
  <si>
    <t>3/4" to X1/2" Wall X 6' Long Foam</t>
  </si>
  <si>
    <t>04.18.25</t>
  </si>
  <si>
    <t>Chairs</t>
  </si>
  <si>
    <t>04.23.25</t>
  </si>
  <si>
    <t>Rescue One</t>
  </si>
  <si>
    <t>Phillips BVattery for On-Site/FRx Lithium Ion 4 year Lot#33224 Phillips FRx Adult Smart Pads II ...</t>
  </si>
  <si>
    <t>04.24.25</t>
  </si>
  <si>
    <t>Wall monitor mount</t>
  </si>
  <si>
    <t>04.25.25</t>
  </si>
  <si>
    <t>EMT Responder Bag w/ supplies</t>
  </si>
  <si>
    <t>05.01.25</t>
  </si>
  <si>
    <t>Galls</t>
  </si>
  <si>
    <t>Sirchie Patrol Latent Print Kit</t>
  </si>
  <si>
    <t>05.06.25</t>
  </si>
  <si>
    <t>Charger / Surge Protector</t>
  </si>
  <si>
    <t>05.10.25</t>
  </si>
  <si>
    <t>Drone Supplies / SD Card / SD Reader</t>
  </si>
  <si>
    <t>Phone screen protectors</t>
  </si>
  <si>
    <t>05.13.25</t>
  </si>
  <si>
    <t>72" Storage Locker</t>
  </si>
  <si>
    <t>Metal wall mounted mailbox</t>
  </si>
  <si>
    <t>Axon</t>
  </si>
  <si>
    <t>Antenna for vehicle</t>
  </si>
  <si>
    <t>Protection for Chair</t>
  </si>
  <si>
    <t xml:space="preserve">Chair </t>
  </si>
  <si>
    <t>Lowes</t>
  </si>
  <si>
    <t>Ladder</t>
  </si>
  <si>
    <t>Dickerson -care for cameras</t>
  </si>
  <si>
    <t>Motorola 12V DC Power cable 20ft, Mid power rear ignition cable, standard palm microphone. Invoi...</t>
  </si>
  <si>
    <t>Brother 6Ft USB-A/C F/Rugged Jet item-manufacturer part number LBX106001</t>
  </si>
  <si>
    <t>Surface Pros</t>
  </si>
  <si>
    <t>BJAG</t>
  </si>
  <si>
    <t>08.11.25</t>
  </si>
  <si>
    <t>BF05-30005GB-GN Cradlepoint E3000 Branch Essentials Router, WiFi, 5G Modem (5 year Mobile Essent...</t>
  </si>
  <si>
    <t>Captial Expenditures</t>
  </si>
  <si>
    <t>09.18.25</t>
  </si>
  <si>
    <t>N-ear Inc.</t>
  </si>
  <si>
    <t>15-Radio earpiece w braided fiber , 15 PTT microphones, 7 dispatch headssets</t>
  </si>
  <si>
    <t>EDIE Grant D - 108 - 26</t>
  </si>
  <si>
    <t>10.10.25</t>
  </si>
  <si>
    <t>Airworx LLC</t>
  </si>
  <si>
    <t>2-CDC Matrice 4 series rapid charging case, 2-DJI &lt;atroce 4 Dual Payload Delivery Kit (BK4) w/Em...</t>
  </si>
  <si>
    <t>SALLE Grant S - 111 - 26 ($4550.51)</t>
  </si>
  <si>
    <t>PD - Equipment / Asset Depreciable</t>
  </si>
  <si>
    <t>Motorola Solutions</t>
  </si>
  <si>
    <t>Radio purchases-BJAG &amp; SLEAF purchases</t>
  </si>
  <si>
    <t>BJAG &amp; SLEAF Grant</t>
  </si>
  <si>
    <t>04.01.25</t>
  </si>
  <si>
    <t>Hertrich Fleet Services Inc.</t>
  </si>
  <si>
    <t>2025 Ford Agate Black Police Interceptor</t>
  </si>
  <si>
    <t>Capital Expenditures</t>
  </si>
  <si>
    <t>2025 Ford Agate Black F-150 Police Respond</t>
  </si>
  <si>
    <t>05.02.25</t>
  </si>
  <si>
    <t>7 Semi-automatic english handle, 7 replacement electrode kit quik step, 7 carry case kit, 7 resc...</t>
  </si>
  <si>
    <t>05.14.25</t>
  </si>
  <si>
    <t>Global Public Safety</t>
  </si>
  <si>
    <t>New Truck out fitting</t>
  </si>
  <si>
    <t>New truck out  fitting</t>
  </si>
  <si>
    <t>06.24.25</t>
  </si>
  <si>
    <t>Pohanka Ford</t>
  </si>
  <si>
    <t>1FM5K8AC5SGB59688</t>
  </si>
  <si>
    <t>Capital Expenditures - 4th vehicle</t>
  </si>
  <si>
    <t>09.11.25</t>
  </si>
  <si>
    <t>Island Tech Services</t>
  </si>
  <si>
    <t>2025 Ford PIU VIN 1FM5K8AC5SGB59688</t>
  </si>
  <si>
    <t>Installation of Digital video Management System Invoice dated 4.25.25</t>
  </si>
  <si>
    <t>DEMA Grant - HSGP - 24-0705-S-13706-11</t>
  </si>
  <si>
    <t>Installation of Digital Video Management System</t>
  </si>
  <si>
    <t>2024 Ford Agate Black F-150 Police Respond</t>
  </si>
  <si>
    <t>Insurance, PD Fund, Capital Expenditures</t>
  </si>
  <si>
    <t>2025 Ford PIU 16310 (1) 2025 Ford PIU,1FM5K8AB1SGB45844 Tag PC456500</t>
  </si>
  <si>
    <t>10.13.25</t>
  </si>
  <si>
    <t>Applied Concepts</t>
  </si>
  <si>
    <t>OHS:SPED25-06 Stalker Lidar RLR, 2021-4-2024 Ford F150 Front combo mount Ka Band, 4-2019-2024 Fo...</t>
  </si>
  <si>
    <t>OHS Grant</t>
  </si>
  <si>
    <t>04.30.25</t>
  </si>
  <si>
    <t>APX6500 Enchanced 7/800 MHZ mobile</t>
  </si>
  <si>
    <t>Violent Crimes Grant - V-86-25</t>
  </si>
  <si>
    <t>Attica Supply Co</t>
  </si>
  <si>
    <t>Shield purchases-Violent Crime Grant purchase</t>
  </si>
  <si>
    <t>DBP Donation Purchases</t>
  </si>
  <si>
    <t>Logomotive</t>
  </si>
  <si>
    <t>Jr. Guard Shirts</t>
  </si>
  <si>
    <t>BSN Sports</t>
  </si>
  <si>
    <t>Tetherball Hardware</t>
  </si>
  <si>
    <t>Marine Rescue Products</t>
  </si>
  <si>
    <t>Replacement Board Fin</t>
  </si>
  <si>
    <t>07.17.25</t>
  </si>
  <si>
    <t>North Shores Board of Governors</t>
  </si>
  <si>
    <t>Competition</t>
  </si>
  <si>
    <t>USLA Mid - Atlantic Region</t>
  </si>
  <si>
    <t>Jr. Guard Manuals</t>
  </si>
  <si>
    <t>Pamela Aquilani Photography</t>
  </si>
  <si>
    <t>Team Photo</t>
  </si>
  <si>
    <t>08.14.25</t>
  </si>
  <si>
    <t>Various Lifeguards</t>
  </si>
  <si>
    <t>Travel Per Diem</t>
  </si>
  <si>
    <t>USLA</t>
  </si>
  <si>
    <t>Nationals</t>
  </si>
  <si>
    <t>Trophies to Go</t>
  </si>
  <si>
    <t>Trophies</t>
  </si>
  <si>
    <t>DBP - Equipment / Assett - Depreciable</t>
  </si>
  <si>
    <t>L &amp; D Suzuki, Inc</t>
  </si>
  <si>
    <t>New Polaris ATV</t>
  </si>
  <si>
    <t>Capital Expenditures Approved Purchase</t>
  </si>
  <si>
    <t>November</t>
  </si>
  <si>
    <t>11.01.25</t>
  </si>
  <si>
    <t>DNREC Reimbursement</t>
  </si>
  <si>
    <t>11.04.25</t>
  </si>
  <si>
    <t>11.02.25</t>
  </si>
  <si>
    <t>11.03.25</t>
  </si>
  <si>
    <t>11.06.25</t>
  </si>
  <si>
    <t>11.24.25</t>
  </si>
  <si>
    <t>ServPro - Sussex County</t>
  </si>
  <si>
    <t>Cell clean out</t>
  </si>
  <si>
    <t>Drain clean out</t>
  </si>
  <si>
    <t>Tool storage</t>
  </si>
  <si>
    <t>11.07.25</t>
  </si>
  <si>
    <t>11.14.25</t>
  </si>
  <si>
    <t>11.28.25</t>
  </si>
  <si>
    <t>Hand Truck</t>
  </si>
  <si>
    <t>12.09.25</t>
  </si>
  <si>
    <t>12.19.25</t>
  </si>
  <si>
    <t>12.01.25</t>
  </si>
  <si>
    <t>12.10.25</t>
  </si>
  <si>
    <t>12.31.25</t>
  </si>
  <si>
    <t>Reclass - expenses to wrong project</t>
  </si>
  <si>
    <t>12.08.25</t>
  </si>
  <si>
    <t>11.18.25</t>
  </si>
  <si>
    <t>11.19.25</t>
  </si>
  <si>
    <t>Penco Corp</t>
  </si>
  <si>
    <t>Rehoboth Hardware</t>
  </si>
  <si>
    <t>12.05.25</t>
  </si>
  <si>
    <t>12.16.25</t>
  </si>
  <si>
    <t>Allen Myers</t>
  </si>
  <si>
    <t>Dickinson</t>
  </si>
  <si>
    <t>Street Paving</t>
  </si>
  <si>
    <t>12.02.25</t>
  </si>
  <si>
    <t>12.30.25</t>
  </si>
  <si>
    <t>Wireless</t>
  </si>
  <si>
    <t>A-Del Construction</t>
  </si>
  <si>
    <t>Median fencing Repair</t>
  </si>
  <si>
    <t>Kayak Rack</t>
  </si>
  <si>
    <t>December</t>
  </si>
  <si>
    <t>Funds received in FY25 and been used then and since</t>
  </si>
  <si>
    <t>Violent Crime Grant</t>
  </si>
  <si>
    <t>DEMA-F424 Grant - Received 07.18.25  In 4070400</t>
  </si>
  <si>
    <t>Approved in FY26 Cap Ex Budget</t>
  </si>
  <si>
    <t>Approved after accident</t>
  </si>
  <si>
    <t>Approved after engine issue</t>
  </si>
  <si>
    <t>SLEAF Grant for $16,756.79 - bal out of PD budget  - Money to be received before end of FY</t>
  </si>
  <si>
    <t>BJAG Grant for $15,000 - bal out of PD budget - Money to be received before end of FY</t>
  </si>
  <si>
    <t>$23,845 received in 12.2025 - 4040750 - have to reclass to 4070400 - Not Grant duty income</t>
  </si>
  <si>
    <t>2300200 - need to reclass to 4060800</t>
  </si>
  <si>
    <t>January</t>
  </si>
  <si>
    <t>February</t>
  </si>
  <si>
    <t>July 2026</t>
  </si>
  <si>
    <t xml:space="preserve"> FY2027            04 - JUL Revenue</t>
  </si>
  <si>
    <t xml:space="preserve"> FY2027            04 - JUL Budget</t>
  </si>
  <si>
    <t xml:space="preserve"> FY2027               01-Apr - 04 - JUL YTD Revenue</t>
  </si>
  <si>
    <t xml:space="preserve"> FY2027                 01-Apr - 04 - JUL YTD Budget</t>
  </si>
  <si>
    <t xml:space="preserve"> FY2027                 01-Apr - 04 - JUL % of YTD Budget</t>
  </si>
  <si>
    <t>FY2027 Annual Revenue Budget</t>
  </si>
  <si>
    <t xml:space="preserve"> FY2027                 01-Apr - 04 - JUL % of Annual Budget</t>
  </si>
  <si>
    <t>REVENUE</t>
  </si>
  <si>
    <t>R01        - Transfer Tax</t>
  </si>
  <si>
    <t>10-400-0100 - Transfer Tax</t>
  </si>
  <si>
    <t>R02        - Accommodation Tax</t>
  </si>
  <si>
    <t>10-400-0200 - Accommodations Tax</t>
  </si>
  <si>
    <t>R03        - Hotel Tax</t>
  </si>
  <si>
    <t>10-400-0250 - Hotel Tax</t>
  </si>
  <si>
    <t>R04        - Business Licenses</t>
  </si>
  <si>
    <t>10-401-0050 - Business License Fines</t>
  </si>
  <si>
    <t>10-401-0100 - Rental License</t>
  </si>
  <si>
    <t>10-401-0300 - Commerical Business</t>
  </si>
  <si>
    <t>R05        - Parking Permits &amp; Meters</t>
  </si>
  <si>
    <t>10-401-0500 - Seasonal</t>
  </si>
  <si>
    <t>10-401-0600 - Daily</t>
  </si>
  <si>
    <t>10-401-0700 - Hourly Parking</t>
  </si>
  <si>
    <t>R06        - Building Permits</t>
  </si>
  <si>
    <t>10-401-0800 - Building Permits</t>
  </si>
  <si>
    <t>R07        - Total Fines</t>
  </si>
  <si>
    <t>10-402-0100 - Parking Tickets</t>
  </si>
  <si>
    <t>10-402-0150 - Delinquent Parking Tickets</t>
  </si>
  <si>
    <t>10-402-0300 - Ordinance Fines &amp; Court Costs</t>
  </si>
  <si>
    <t>10-402-0400 - Traffic Fines</t>
  </si>
  <si>
    <t>10-402-0700 - Fines - Other Courts</t>
  </si>
  <si>
    <t>R08        - All Other Revenue</t>
  </si>
  <si>
    <t>10-400-0300 - Cable TV Franchise</t>
  </si>
  <si>
    <t>10-400-0400 - Beach Concession Contract</t>
  </si>
  <si>
    <t>10-401-0850 - Builing Permit Application Fees</t>
  </si>
  <si>
    <t>10-401-0900 - Beach Fire</t>
  </si>
  <si>
    <t>10-401-1100 - Dog Licenses</t>
  </si>
  <si>
    <t>10-404-0000 - Misc / Other</t>
  </si>
  <si>
    <t>10-404-0100 - Public Hearing Fees</t>
  </si>
  <si>
    <t>10-404-0300 - Interest Income</t>
  </si>
  <si>
    <t>10-404-0500 - Donations</t>
  </si>
  <si>
    <t>10-404-0550 - Marketing Donations</t>
  </si>
  <si>
    <t>10-404-0600 - Police Reports</t>
  </si>
  <si>
    <t>10-404-0700 - Police Extra Duty - Pay Jobs</t>
  </si>
  <si>
    <t>10-404-0750 - Police Grant Duty</t>
  </si>
  <si>
    <t>10-404-0800 - Pension State Funding</t>
  </si>
  <si>
    <t>10-404-0900 - Misc</t>
  </si>
  <si>
    <t>10-404-1000 - Town Hall Other</t>
  </si>
  <si>
    <t>10-408-0200 - Annual in Perpetuity</t>
  </si>
  <si>
    <t>ALLOCATIONS</t>
  </si>
  <si>
    <t>Total Allocations</t>
  </si>
  <si>
    <t xml:space="preserve"> FY2027            04 - JUL Expense</t>
  </si>
  <si>
    <t xml:space="preserve"> FY2027               01-Apr - 04 - JUL YTD Expense</t>
  </si>
  <si>
    <t xml:space="preserve"> FY2027               01-Apr - 04 - JUL YTD Budget</t>
  </si>
  <si>
    <t xml:space="preserve"> FY2027               01-Apr - 04 - JUL % of YTD Budget</t>
  </si>
  <si>
    <t>FY2027 Annual Expense Budget</t>
  </si>
  <si>
    <t xml:space="preserve"> FY2027               01-Apr - 04 - JUL % of Annual Budget</t>
  </si>
  <si>
    <t>EXPENSE</t>
  </si>
  <si>
    <t>601 - Town Expenses</t>
  </si>
  <si>
    <t>E00        - Administrative</t>
  </si>
  <si>
    <t>10-601-0101 - Banking, Collection &amp; Credit Card Fees</t>
  </si>
  <si>
    <t>10-601-0200 - Commissioner &amp; Committee Exp</t>
  </si>
  <si>
    <t>10-601-0250 - Election Expenses</t>
  </si>
  <si>
    <t>10-601-0300 - Donations</t>
  </si>
  <si>
    <t>10-601-0400 - Code Update</t>
  </si>
  <si>
    <t>10-601-0500 - Legal Fees - Regular</t>
  </si>
  <si>
    <t>10-601-0600 - Audit Fees</t>
  </si>
  <si>
    <t>10-601-0800 - Beach &amp; Marketing Events</t>
  </si>
  <si>
    <t>10-601-0850 - Donation / Sponsorship Purchase</t>
  </si>
  <si>
    <t>10-601-0900 - Computer Hardware, Software &amp; Support</t>
  </si>
  <si>
    <t>10-601-1000 - Employee Bonuses</t>
  </si>
  <si>
    <t>10-601-1050 - Payroll Expenses</t>
  </si>
  <si>
    <t>10-601-1075 - Compensated Absence Exp.</t>
  </si>
  <si>
    <t>10-601-1100 - Legal Ads</t>
  </si>
  <si>
    <t>10-601-1200 - Dues Publications &amp; Subscriptio</t>
  </si>
  <si>
    <t>10-601-1300 - Cleaning</t>
  </si>
  <si>
    <t>10-601-1325 - Pest Control</t>
  </si>
  <si>
    <t>10-601-1350 - Building Maintenance</t>
  </si>
  <si>
    <t>10-601-1375 - Utilities</t>
  </si>
  <si>
    <t>10-601-1500 - Gas</t>
  </si>
  <si>
    <t>10-601-1525 - Electric Vehicle Charging</t>
  </si>
  <si>
    <t>10-601-1550 - Mileage Reimbursement</t>
  </si>
  <si>
    <t>10-601-1575 - Auto Maintenance &amp; Repairs</t>
  </si>
  <si>
    <t>10-601-1600 - Postage</t>
  </si>
  <si>
    <t>10-601-1700 - Professional Fees</t>
  </si>
  <si>
    <t>10-601-1800 - Supplies</t>
  </si>
  <si>
    <t>E10        - Operating</t>
  </si>
  <si>
    <t>10-601-2002 - Bayard Avenue Operating</t>
  </si>
  <si>
    <t>10-601-2100 - Beautification</t>
  </si>
  <si>
    <t>10-601-2200 - Trash</t>
  </si>
  <si>
    <t>10-601-2300 - Street Signs / Lights</t>
  </si>
  <si>
    <t>10-601-2400 - Parking Meter / Permit Expenses</t>
  </si>
  <si>
    <t>10-601-2700 - Town Hall Property Expenses</t>
  </si>
  <si>
    <t>10-601-2725 - Rental Expense</t>
  </si>
  <si>
    <t>10-601-2750 - Town Street Projects</t>
  </si>
  <si>
    <t>10-601-2800 - Storm Water / Street Flooding</t>
  </si>
  <si>
    <t>602 - Administration</t>
  </si>
  <si>
    <t>E01        - Employee Expenses</t>
  </si>
  <si>
    <t>10-602-0101 - Salary &amp; Wages</t>
  </si>
  <si>
    <t>10-602-0102 - Overtime</t>
  </si>
  <si>
    <t>10-602-0110 - Payroll Taxes</t>
  </si>
  <si>
    <t>10-602-0130 - Employee Benefits</t>
  </si>
  <si>
    <t>10-602-0140 - Pension Plan</t>
  </si>
  <si>
    <t>10-602-0150 - Uniforms</t>
  </si>
  <si>
    <t>10-602-0160 - Workers Comp</t>
  </si>
  <si>
    <t>E03        - Seasonal Employee Expenses</t>
  </si>
  <si>
    <t>10-602-0301 - Salary &amp; Wages</t>
  </si>
  <si>
    <t>10-602-0310 - Payroll Taxes</t>
  </si>
  <si>
    <t>10-602-0360 - Workers Comp</t>
  </si>
  <si>
    <t>10-602-1200 - Insurance</t>
  </si>
  <si>
    <t>10-602-1400 - Training</t>
  </si>
  <si>
    <t>10-602-1700 - Misc</t>
  </si>
  <si>
    <t>10-602-2050 - Equipment / Asset - Depreciable</t>
  </si>
  <si>
    <t>603 - Police</t>
  </si>
  <si>
    <t>10-603-0101 - Salary &amp; Wages</t>
  </si>
  <si>
    <t>10-603-0102 - Overtime</t>
  </si>
  <si>
    <t>10-603-0103 - Special Duty 1 - Pay Jobs</t>
  </si>
  <si>
    <t>10-603-0104 - Special Duty 2 - Extra Duty</t>
  </si>
  <si>
    <t>10-603-0105 - Grant OT</t>
  </si>
  <si>
    <t>10-603-0110 - Payroll Taxes</t>
  </si>
  <si>
    <t>10-603-0130 - Employee Benefits</t>
  </si>
  <si>
    <t>10-603-0140 - Pension Plan</t>
  </si>
  <si>
    <t>10-603-0150 - Uniforms</t>
  </si>
  <si>
    <t>10-603-0160 - Workers Comp</t>
  </si>
  <si>
    <t>E02        - Administrative Employee Expenses</t>
  </si>
  <si>
    <t>10-603-0201 - Salary &amp; Wages</t>
  </si>
  <si>
    <t>10-603-0202 - Overtime</t>
  </si>
  <si>
    <t>10-603-0210 - Payroll Taxes</t>
  </si>
  <si>
    <t>10-603-0230 - Employee Benefits</t>
  </si>
  <si>
    <t>10-603-0240 - Pension Plan</t>
  </si>
  <si>
    <t>10-603-0250 - Uniforms</t>
  </si>
  <si>
    <t>10-603-0260 - Workers Comp</t>
  </si>
  <si>
    <t>10-603-0301 - Salary &amp; Wages</t>
  </si>
  <si>
    <t>10-603-0302 - Overtime</t>
  </si>
  <si>
    <t>10-603-0310 - Payroll Taxes</t>
  </si>
  <si>
    <t>10-603-0350 - Uniforms</t>
  </si>
  <si>
    <t>10-603-0360 - Workers Comp</t>
  </si>
  <si>
    <t>10-603-0400 - Outside Assistance - Events</t>
  </si>
  <si>
    <t>10-603-1125 - New Hire Fees</t>
  </si>
  <si>
    <t>10-603-1200 - Insurance</t>
  </si>
  <si>
    <t>10-603-1300 - Dues Publications &amp; Subscriptio</t>
  </si>
  <si>
    <t>10-603-1400 - Training - Year Round Officers</t>
  </si>
  <si>
    <t>10-603-1425 - Training - Admin Employees</t>
  </si>
  <si>
    <t>10-603-1450 - Training - Seasonal Officers</t>
  </si>
  <si>
    <t>10-603-1475 - Weapons / Ammunition</t>
  </si>
  <si>
    <t>10-603-1550 - K9 Program</t>
  </si>
  <si>
    <t>10-603-1700 - Misc</t>
  </si>
  <si>
    <t>10-603-1800 - Equipment Maintenance</t>
  </si>
  <si>
    <t>10-603-1900 - Drug Testing</t>
  </si>
  <si>
    <t>10-603-2000 - Equipment / Asset Purchase</t>
  </si>
  <si>
    <t>10-603-2050 - Equipment / Asset - Depreciable</t>
  </si>
  <si>
    <t>604 - Maintenance</t>
  </si>
  <si>
    <t>10-604-0101 - Salary &amp; Wages</t>
  </si>
  <si>
    <t>10-604-0102 - Overtime</t>
  </si>
  <si>
    <t>10-604-0110 - Payroll Taxes</t>
  </si>
  <si>
    <t>10-604-0130 - Employee Benefits</t>
  </si>
  <si>
    <t>10-604-0140 - Pension Plan</t>
  </si>
  <si>
    <t>10-604-0150 - Uniforms</t>
  </si>
  <si>
    <t>10-604-0160 - Workers Comp</t>
  </si>
  <si>
    <t>10-604-0301 - Salary &amp; Wages</t>
  </si>
  <si>
    <t>10-604-0302 - Overtime</t>
  </si>
  <si>
    <t>10-604-0310 - Payroll Taxes</t>
  </si>
  <si>
    <t>10-604-0350 - Uniforms</t>
  </si>
  <si>
    <t>10-604-0360 - Workers Comp</t>
  </si>
  <si>
    <t>E05        - Building Expenses</t>
  </si>
  <si>
    <t>10-604-0501 - Utilities</t>
  </si>
  <si>
    <t>10-604-0530 - Building Maintenance</t>
  </si>
  <si>
    <t>10-604-1500 - Supplies</t>
  </si>
  <si>
    <t>10-604-1700 - Misc</t>
  </si>
  <si>
    <t>10-604-1800 - Equipment Maintenance</t>
  </si>
  <si>
    <t>605 - Parking Enforcement</t>
  </si>
  <si>
    <t>10-605-0101 - Salary &amp; Wages</t>
  </si>
  <si>
    <t>10-605-0102 - Overtime</t>
  </si>
  <si>
    <t>10-605-0110 - Payroll Taxes</t>
  </si>
  <si>
    <t>10-605-0130 - Employee Benefits</t>
  </si>
  <si>
    <t>10-605-0150 - Uniforms</t>
  </si>
  <si>
    <t>10-605-0160 - Workers Comp</t>
  </si>
  <si>
    <t>10-605-0301 - Salary &amp; Wages</t>
  </si>
  <si>
    <t>10-605-0302 - Overtime</t>
  </si>
  <si>
    <t>10-605-0310 - Payroll Taxes</t>
  </si>
  <si>
    <t>10-605-0350 - Uniforms</t>
  </si>
  <si>
    <t>10-605-0360 - Workers Comp</t>
  </si>
  <si>
    <t>10-605-1700 - Misc</t>
  </si>
  <si>
    <t>10-605-1800 - Equipment Maintenance</t>
  </si>
  <si>
    <t>606 - Building Official</t>
  </si>
  <si>
    <t>10-606-0101 - Salary &amp; Wages</t>
  </si>
  <si>
    <t>10-606-0110 - Payroll Taxes</t>
  </si>
  <si>
    <t>10-606-0130 - Employee Benefits</t>
  </si>
  <si>
    <t>10-606-0140 - Pension Plan</t>
  </si>
  <si>
    <t>10-606-0150 - Uniforms</t>
  </si>
  <si>
    <t>10-606-0160 - Workers Comp</t>
  </si>
  <si>
    <t>10-606-1400 - Training</t>
  </si>
  <si>
    <t>607 - Alderman</t>
  </si>
  <si>
    <t>10-607-0101 - Salary &amp; Wages</t>
  </si>
  <si>
    <t>10-607-0110 - Payroll Taxes</t>
  </si>
  <si>
    <t>10-607-0160 - Workers Comp</t>
  </si>
  <si>
    <t>608 - Beach Patrol</t>
  </si>
  <si>
    <t>10-608-0101 - Salary &amp; Wages</t>
  </si>
  <si>
    <t>10-608-0110 - Payroll Taxes</t>
  </si>
  <si>
    <t>10-608-0130 - Employee Benefits</t>
  </si>
  <si>
    <t>10-608-0160 - Workers Comp</t>
  </si>
  <si>
    <t>10-608-0300 - Seasonal Employees</t>
  </si>
  <si>
    <t>10-608-0301 - Salary &amp; Wages</t>
  </si>
  <si>
    <t>10-608-0302 - Overtime</t>
  </si>
  <si>
    <t>10-608-0310 - Payroll Taxes</t>
  </si>
  <si>
    <t>10-608-0350 - Uniforms</t>
  </si>
  <si>
    <t>10-608-0360 - Workers Comp</t>
  </si>
  <si>
    <t>10-608-0370 - Drug Testing</t>
  </si>
  <si>
    <t>10-608-0501 - Utilities</t>
  </si>
  <si>
    <t>10-608-0510 - Cleaning</t>
  </si>
  <si>
    <t>10-608-0520 - Pest Control</t>
  </si>
  <si>
    <t>10-608-0530 - Building Maintenance</t>
  </si>
  <si>
    <t>10-608-1200 - Insurance</t>
  </si>
  <si>
    <t>10-608-1300 - Dues Publications &amp; Subscriptio</t>
  </si>
  <si>
    <t>10-608-1400 - Training</t>
  </si>
  <si>
    <t>10-608-1500 - Supplies</t>
  </si>
  <si>
    <t>10-608-1700 - Misc</t>
  </si>
  <si>
    <t>10-608-1800 - DBP Donations Purchases</t>
  </si>
  <si>
    <t>10-608-1900 - Equipment Maintenance</t>
  </si>
  <si>
    <t>Current Year Period Net</t>
  </si>
  <si>
    <t>Exp/Rev Budget Current Year Period</t>
  </si>
  <si>
    <t>Current Year Net</t>
  </si>
  <si>
    <t>Exp/Rev Budget</t>
  </si>
  <si>
    <t>Current Year Annual Net Budget</t>
  </si>
  <si>
    <t>10 - Operating</t>
  </si>
  <si>
    <t>General Fund Financial Overview: JULY 2026 - OPERATING</t>
  </si>
  <si>
    <t>YTD Budget</t>
  </si>
  <si>
    <t>Parking to Rainy Day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</si>
</sst>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mm/dd/yyyy"/>
    <numFmt numFmtId="167" formatCode="#,##0.00;\-#,##0.00"/>
    <numFmt numFmtId="168" formatCode="#,##0;\(#,##0\)"/>
    <numFmt numFmtId="169" formatCode="#,##0%;\-#,##0%"/>
    <numFmt numFmtId="170" formatCode="#,##0;\-#,##0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u/>
      <sz val="9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11"/>
      <color rgb="FF323232"/>
      <name val="Calibri"/>
      <family val="2"/>
    </font>
    <font>
      <b/>
      <sz val="12"/>
      <color rgb="FF212121"/>
      <name val="Amazon Ember"/>
    </font>
    <font>
      <sz val="12"/>
      <color rgb="FF212121"/>
      <name val="Amazon Ember"/>
    </font>
    <font>
      <b/>
      <i/>
      <sz val="12"/>
      <color rgb="FF212121"/>
      <name val="Amazon Embe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</patternFill>
    </fill>
    <fill>
      <patternFill patternType="solid">
        <fgColor rgb="FFF6F6F6"/>
      </patternFill>
    </fill>
    <fill>
      <patternFill patternType="solid">
        <fgColor rgb="FFEDEEE1"/>
      </patternFill>
    </fill>
    <fill>
      <patternFill patternType="solid">
        <fgColor rgb="FFFFC000"/>
        <bgColor indexed="64"/>
      </patternFill>
    </fill>
    <fill>
      <patternFill patternType="solid">
        <fgColor rgb="FFB9E52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40" fontId="2" fillId="0" borderId="1">
      <alignment horizontal="right"/>
    </xf>
    <xf numFmtId="0" fontId="3" fillId="0" borderId="0">
      <alignment horizontal="left"/>
    </xf>
    <xf numFmtId="0" fontId="3" fillId="0" borderId="0">
      <alignment horizontal="left"/>
    </xf>
    <xf numFmtId="40" fontId="2" fillId="0" borderId="2">
      <alignment horizontal="right"/>
    </xf>
    <xf numFmtId="40" fontId="2" fillId="0" borderId="0">
      <alignment horizontal="left"/>
    </xf>
    <xf numFmtId="40" fontId="2" fillId="0" borderId="0">
      <alignment horizontal="left"/>
    </xf>
    <xf numFmtId="40" fontId="2" fillId="0" borderId="3">
      <alignment horizontal="right"/>
    </xf>
    <xf numFmtId="40" fontId="2" fillId="0" borderId="0">
      <alignment horizontal="left"/>
    </xf>
    <xf numFmtId="40" fontId="2" fillId="0" borderId="0">
      <alignment horizontal="left"/>
    </xf>
    <xf numFmtId="40" fontId="4" fillId="0" borderId="0">
      <alignment horizontal="right"/>
    </xf>
    <xf numFmtId="0" fontId="4" fillId="0" borderId="0">
      <alignment horizontal="left"/>
    </xf>
    <xf numFmtId="0" fontId="4" fillId="0" borderId="0">
      <alignment horizontal="left"/>
    </xf>
    <xf numFmtId="40" fontId="5" fillId="2" borderId="0">
      <alignment horizontal="left"/>
    </xf>
    <xf numFmtId="40" fontId="5" fillId="2" borderId="0">
      <alignment horizontal="left"/>
    </xf>
    <xf numFmtId="40" fontId="6" fillId="3" borderId="0"/>
    <xf numFmtId="40" fontId="6" fillId="3" borderId="0"/>
    <xf numFmtId="0" fontId="2" fillId="4" borderId="0">
      <alignment horizontal="left"/>
    </xf>
    <xf numFmtId="0" fontId="2" fillId="4" borderId="0">
      <alignment horizontal="left"/>
    </xf>
    <xf numFmtId="0" fontId="6" fillId="3" borderId="0">
      <alignment horizontal="center" vertical="center"/>
    </xf>
    <xf numFmtId="40" fontId="6" fillId="3" borderId="0">
      <alignment horizontal="center" vertical="center"/>
    </xf>
    <xf numFmtId="40" fontId="6" fillId="3" borderId="0">
      <alignment horizontal="center"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164" fontId="9" fillId="0" borderId="0" xfId="1" applyNumberFormat="1" applyFont="1"/>
    <xf numFmtId="165" fontId="7" fillId="0" borderId="4" xfId="0" quotePrefix="1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16" fontId="7" fillId="0" borderId="4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164" fontId="9" fillId="0" borderId="5" xfId="1" applyNumberFormat="1" applyFont="1" applyBorder="1"/>
    <xf numFmtId="9" fontId="9" fillId="0" borderId="0" xfId="24" applyFont="1" applyAlignment="1">
      <alignment horizontal="center"/>
    </xf>
    <xf numFmtId="164" fontId="7" fillId="6" borderId="5" xfId="1" applyNumberFormat="1" applyFont="1" applyFill="1" applyBorder="1"/>
    <xf numFmtId="0" fontId="7" fillId="6" borderId="0" xfId="0" applyFont="1" applyFill="1"/>
    <xf numFmtId="164" fontId="9" fillId="0" borderId="0" xfId="0" applyNumberFormat="1" applyFont="1"/>
    <xf numFmtId="0" fontId="9" fillId="0" borderId="0" xfId="0" applyFont="1" applyAlignment="1">
      <alignment horizontal="center"/>
    </xf>
    <xf numFmtId="0" fontId="12" fillId="0" borderId="0" xfId="0" applyFont="1"/>
    <xf numFmtId="164" fontId="7" fillId="0" borderId="4" xfId="1" applyNumberFormat="1" applyFont="1" applyBorder="1"/>
    <xf numFmtId="9" fontId="7" fillId="0" borderId="0" xfId="24" applyFont="1" applyAlignment="1">
      <alignment horizontal="center"/>
    </xf>
    <xf numFmtId="16" fontId="7" fillId="0" borderId="4" xfId="0" quotePrefix="1" applyNumberFormat="1" applyFont="1" applyBorder="1" applyAlignment="1">
      <alignment horizontal="center" wrapText="1"/>
    </xf>
    <xf numFmtId="164" fontId="7" fillId="7" borderId="5" xfId="1" applyNumberFormat="1" applyFont="1" applyFill="1" applyBorder="1"/>
    <xf numFmtId="9" fontId="9" fillId="0" borderId="0" xfId="24" applyFont="1" applyBorder="1" applyAlignment="1">
      <alignment horizontal="center"/>
    </xf>
    <xf numFmtId="3" fontId="7" fillId="0" borderId="0" xfId="0" applyNumberFormat="1" applyFont="1"/>
    <xf numFmtId="0" fontId="13" fillId="0" borderId="0" xfId="0" applyFont="1"/>
    <xf numFmtId="164" fontId="13" fillId="0" borderId="0" xfId="1" applyNumberFormat="1" applyFont="1" applyFill="1"/>
    <xf numFmtId="0" fontId="13" fillId="0" borderId="0" xfId="0" applyFont="1" applyAlignment="1">
      <alignment wrapText="1"/>
    </xf>
    <xf numFmtId="164" fontId="13" fillId="0" borderId="0" xfId="1" applyNumberFormat="1" applyFont="1"/>
    <xf numFmtId="0" fontId="13" fillId="8" borderId="0" xfId="0" applyFont="1" applyFill="1"/>
    <xf numFmtId="0" fontId="13" fillId="8" borderId="0" xfId="0" applyFont="1" applyFill="1" applyAlignment="1">
      <alignment wrapText="1"/>
    </xf>
    <xf numFmtId="164" fontId="13" fillId="8" borderId="0" xfId="1" applyNumberFormat="1" applyFont="1" applyFill="1"/>
    <xf numFmtId="164" fontId="13" fillId="0" borderId="0" xfId="1" applyNumberFormat="1" applyFont="1" applyFill="1" applyAlignment="1">
      <alignment vertical="top"/>
    </xf>
    <xf numFmtId="49" fontId="13" fillId="0" borderId="0" xfId="1" applyNumberFormat="1" applyFont="1" applyAlignment="1">
      <alignment wrapText="1"/>
    </xf>
    <xf numFmtId="49" fontId="13" fillId="0" borderId="0" xfId="1" applyNumberFormat="1" applyFont="1" applyAlignment="1"/>
    <xf numFmtId="164" fontId="13" fillId="8" borderId="0" xfId="0" applyNumberFormat="1" applyFont="1" applyFill="1"/>
    <xf numFmtId="9" fontId="13" fillId="0" borderId="0" xfId="24" applyFont="1"/>
    <xf numFmtId="164" fontId="12" fillId="0" borderId="0" xfId="1" applyNumberFormat="1" applyFont="1" applyFill="1"/>
    <xf numFmtId="164" fontId="12" fillId="0" borderId="0" xfId="0" applyNumberFormat="1" applyFont="1"/>
    <xf numFmtId="43" fontId="9" fillId="0" borderId="0" xfId="0" applyNumberFormat="1" applyFont="1"/>
    <xf numFmtId="9" fontId="9" fillId="0" borderId="0" xfId="0" applyNumberFormat="1" applyFont="1"/>
    <xf numFmtId="43" fontId="9" fillId="0" borderId="0" xfId="1" applyFont="1"/>
    <xf numFmtId="43" fontId="0" fillId="0" borderId="0" xfId="0" applyNumberFormat="1"/>
    <xf numFmtId="43" fontId="0" fillId="0" borderId="0" xfId="1" applyFont="1" applyAlignment="1">
      <alignment horizontal="center"/>
    </xf>
    <xf numFmtId="43" fontId="0" fillId="0" borderId="0" xfId="1" applyFont="1" applyAlignment="1"/>
    <xf numFmtId="43" fontId="0" fillId="9" borderId="0" xfId="1" applyFont="1" applyFill="1" applyAlignment="1">
      <alignment horizontal="center"/>
    </xf>
    <xf numFmtId="0" fontId="0" fillId="0" borderId="4" xfId="0" applyBorder="1"/>
    <xf numFmtId="43" fontId="0" fillId="0" borderId="4" xfId="1" applyFont="1" applyBorder="1"/>
    <xf numFmtId="43" fontId="0" fillId="9" borderId="4" xfId="1" applyFont="1" applyFill="1" applyBorder="1"/>
    <xf numFmtId="43" fontId="0" fillId="0" borderId="0" xfId="1" applyFont="1" applyFill="1" applyBorder="1" applyAlignment="1">
      <alignment horizontal="center"/>
    </xf>
    <xf numFmtId="43" fontId="0" fillId="9" borderId="0" xfId="1" applyFont="1" applyFill="1"/>
    <xf numFmtId="0" fontId="7" fillId="0" borderId="4" xfId="0" applyFont="1" applyBorder="1"/>
    <xf numFmtId="9" fontId="7" fillId="0" borderId="0" xfId="24" applyFont="1"/>
    <xf numFmtId="0" fontId="14" fillId="0" borderId="0" xfId="0" applyFont="1"/>
    <xf numFmtId="43" fontId="14" fillId="0" borderId="0" xfId="1" applyFont="1"/>
    <xf numFmtId="0" fontId="14" fillId="0" borderId="4" xfId="0" applyFont="1" applyBorder="1"/>
    <xf numFmtId="43" fontId="14" fillId="0" borderId="4" xfId="1" applyFont="1" applyBorder="1"/>
    <xf numFmtId="0" fontId="14" fillId="5" borderId="0" xfId="0" applyFont="1" applyFill="1"/>
    <xf numFmtId="166" fontId="15" fillId="0" borderId="0" xfId="0" applyNumberFormat="1" applyFont="1"/>
    <xf numFmtId="49" fontId="15" fillId="0" borderId="0" xfId="0" applyNumberFormat="1" applyFont="1"/>
    <xf numFmtId="43" fontId="15" fillId="0" borderId="0" xfId="1" applyFont="1"/>
    <xf numFmtId="167" fontId="15" fillId="0" borderId="0" xfId="0" applyNumberFormat="1" applyFont="1"/>
    <xf numFmtId="167" fontId="15" fillId="5" borderId="0" xfId="0" applyNumberFormat="1" applyFont="1" applyFill="1"/>
    <xf numFmtId="43" fontId="14" fillId="0" borderId="0" xfId="0" applyNumberFormat="1" applyFont="1"/>
    <xf numFmtId="0" fontId="16" fillId="10" borderId="6" xfId="0" applyFont="1" applyFill="1" applyBorder="1" applyAlignment="1">
      <alignment horizontal="left"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7" fillId="10" borderId="6" xfId="0" applyFont="1" applyFill="1" applyBorder="1" applyAlignment="1">
      <alignment horizontal="left" vertical="center" wrapText="1"/>
    </xf>
    <xf numFmtId="0" fontId="0" fillId="11" borderId="6" xfId="0" applyFill="1" applyBorder="1" applyAlignment="1">
      <alignment wrapText="1"/>
    </xf>
    <xf numFmtId="0" fontId="0" fillId="0" borderId="0" xfId="0" applyAlignment="1">
      <alignment wrapText="1"/>
    </xf>
    <xf numFmtId="0" fontId="18" fillId="12" borderId="6" xfId="0" applyFont="1" applyFill="1" applyBorder="1" applyAlignment="1">
      <alignment horizontal="left" vertical="center" wrapText="1"/>
    </xf>
    <xf numFmtId="168" fontId="18" fillId="12" borderId="6" xfId="0" applyNumberFormat="1" applyFont="1" applyFill="1" applyBorder="1" applyAlignment="1">
      <alignment horizontal="right" vertical="center" wrapText="1"/>
    </xf>
    <xf numFmtId="169" fontId="18" fillId="12" borderId="6" xfId="0" applyNumberFormat="1" applyFont="1" applyFill="1" applyBorder="1" applyAlignment="1">
      <alignment horizontal="right" vertical="center" wrapText="1"/>
    </xf>
    <xf numFmtId="168" fontId="17" fillId="11" borderId="6" xfId="0" applyNumberFormat="1" applyFont="1" applyFill="1" applyBorder="1" applyAlignment="1">
      <alignment horizontal="right" vertical="center" wrapText="1"/>
    </xf>
    <xf numFmtId="169" fontId="17" fillId="11" borderId="6" xfId="0" applyNumberFormat="1" applyFont="1" applyFill="1" applyBorder="1" applyAlignment="1">
      <alignment horizontal="right" vertical="center" wrapText="1"/>
    </xf>
    <xf numFmtId="168" fontId="17" fillId="10" borderId="6" xfId="0" applyNumberFormat="1" applyFont="1" applyFill="1" applyBorder="1" applyAlignment="1">
      <alignment horizontal="right" vertical="center" wrapText="1"/>
    </xf>
    <xf numFmtId="169" fontId="17" fillId="10" borderId="6" xfId="0" applyNumberFormat="1" applyFont="1" applyFill="1" applyBorder="1" applyAlignment="1">
      <alignment horizontal="right" vertical="center" wrapText="1"/>
    </xf>
    <xf numFmtId="168" fontId="17" fillId="13" borderId="6" xfId="0" applyNumberFormat="1" applyFont="1" applyFill="1" applyBorder="1" applyAlignment="1">
      <alignment horizontal="right" vertical="center" wrapText="1"/>
    </xf>
    <xf numFmtId="0" fontId="18" fillId="14" borderId="6" xfId="0" applyFont="1" applyFill="1" applyBorder="1" applyAlignment="1">
      <alignment horizontal="left" vertical="center" wrapText="1"/>
    </xf>
    <xf numFmtId="168" fontId="18" fillId="14" borderId="6" xfId="0" applyNumberFormat="1" applyFont="1" applyFill="1" applyBorder="1" applyAlignment="1">
      <alignment horizontal="right" vertical="center" wrapText="1"/>
    </xf>
    <xf numFmtId="169" fontId="18" fillId="14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6" fillId="10" borderId="6" xfId="0" applyFont="1" applyFill="1" applyBorder="1" applyAlignment="1">
      <alignment horizontal="left" wrapText="1"/>
    </xf>
    <xf numFmtId="0" fontId="0" fillId="10" borderId="6" xfId="0" applyFill="1" applyBorder="1" applyAlignment="1">
      <alignment wrapText="1"/>
    </xf>
    <xf numFmtId="0" fontId="16" fillId="10" borderId="6" xfId="0" applyFont="1" applyFill="1" applyBorder="1" applyAlignment="1">
      <alignment horizontal="right" vertical="top" wrapText="1"/>
    </xf>
    <xf numFmtId="170" fontId="17" fillId="11" borderId="6" xfId="0" applyNumberFormat="1" applyFont="1" applyFill="1" applyBorder="1" applyAlignment="1">
      <alignment horizontal="right" vertical="center" wrapText="1"/>
    </xf>
    <xf numFmtId="170" fontId="18" fillId="14" borderId="6" xfId="0" applyNumberFormat="1" applyFont="1" applyFill="1" applyBorder="1" applyAlignment="1">
      <alignment horizontal="right" vertical="center" wrapText="1"/>
    </xf>
    <xf numFmtId="168" fontId="0" fillId="11" borderId="6" xfId="0" applyNumberFormat="1" applyFill="1" applyBorder="1" applyAlignment="1">
      <alignment wrapText="1"/>
    </xf>
    <xf numFmtId="168" fontId="17" fillId="15" borderId="6" xfId="0" applyNumberFormat="1" applyFont="1" applyFill="1" applyBorder="1" applyAlignment="1">
      <alignment horizontal="right" vertical="center" wrapText="1"/>
    </xf>
    <xf numFmtId="168" fontId="0" fillId="0" borderId="0" xfId="0" applyNumberFormat="1" applyAlignment="1">
      <alignment wrapText="1"/>
    </xf>
    <xf numFmtId="43" fontId="0" fillId="0" borderId="0" xfId="0" applyNumberFormat="1" applyAlignment="1">
      <alignment wrapText="1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0" fillId="0" borderId="0" xfId="1" applyFont="1" applyAlignment="1">
      <alignment horizontal="center"/>
    </xf>
    <xf numFmtId="169" fontId="17" fillId="0" borderId="6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wrapText="1"/>
    </xf>
  </cellXfs>
  <cellStyles count="25">
    <cellStyle name="AccountDetailRowBalanceCol" xfId="11" xr:uid="{F0EFD950-0799-4AE3-9B3C-DE85F433A3B7}"/>
    <cellStyle name="AccountDetailRowDescCol" xfId="12" xr:uid="{59AA16A1-36AB-4BF7-AF67-B1C535D132A0}"/>
    <cellStyle name="AccountDetailRowNameCol" xfId="13" xr:uid="{AA0C0079-6793-4610-B793-90ABAC1D1B04}"/>
    <cellStyle name="ColumnHeaderRowBalanceCol" xfId="20" xr:uid="{CF9A385E-7CE5-48B4-BA1C-511AA8676FAA}"/>
    <cellStyle name="ColumnHeaderRowDescCol" xfId="21" xr:uid="{E59EF6DD-8AFE-4008-9120-401B5C595C1E}"/>
    <cellStyle name="ColumnHeaderRowNameCol" xfId="22" xr:uid="{88CDA0A5-C266-453F-A025-E98A311EBE90}"/>
    <cellStyle name="Comma" xfId="1" builtinId="3"/>
    <cellStyle name="Comma 2" xfId="23" xr:uid="{B992CCD2-2B94-4DCC-A765-CB7D3D14315D}"/>
    <cellStyle name="FundSectionHeaderRowDescCol" xfId="18" xr:uid="{5E23C53C-7749-4C83-8E82-733D821FA9B8}"/>
    <cellStyle name="FundSectionHeaderRowNameCol" xfId="19" xr:uid="{14898610-A034-4CEF-9B8E-CEE79691A51F}"/>
    <cellStyle name="GroupSectionHeaderRowDescCol" xfId="16" xr:uid="{E3680AF3-E212-403E-A3A7-1F72145A548B}"/>
    <cellStyle name="GroupSectionHeaderRowNameCol" xfId="17" xr:uid="{6123A41A-3FDE-4339-BA27-C5FC45FF88E2}"/>
    <cellStyle name="NetIncomeLossRowBalanceCol" xfId="2" xr:uid="{C002DD23-CD9B-4299-A2E5-131E495D5027}"/>
    <cellStyle name="NetIncomeLossRowDescCol" xfId="3" xr:uid="{FC4B4E7F-E5BC-4613-9575-05D75AED1351}"/>
    <cellStyle name="NetIncomeLossRowNameCol" xfId="4" xr:uid="{084E2350-0404-4AA2-B0E8-FF52EC49E2D8}"/>
    <cellStyle name="Normal" xfId="0" builtinId="0"/>
    <cellStyle name="Percent" xfId="24" builtinId="5"/>
    <cellStyle name="SubgroupSectionHeaderRowDescCol" xfId="14" xr:uid="{5DF18AAB-28A0-41EE-91E3-71C4D558DA93}"/>
    <cellStyle name="SubgroupSectionHeaderRowNameCol" xfId="15" xr:uid="{AF48AD1D-FDD0-4BCF-BA84-D6BB99F0CB7B}"/>
    <cellStyle name="SubgroupSubtotalRowBalanceCol" xfId="8" xr:uid="{E7C6E6C0-768C-4162-94C2-3064F7A35FA6}"/>
    <cellStyle name="SubgroupSubtotalRowDescCol" xfId="9" xr:uid="{32E1578C-9172-44A2-BCE0-7C65215EDC8E}"/>
    <cellStyle name="SubgroupSubtotalRowNameCol" xfId="10" xr:uid="{3A1FFA09-2170-4BC6-AB1B-3FFB9E38D74C}"/>
    <cellStyle name="UnclassifiedTotalRowBalanceCol" xfId="5" xr:uid="{EA1D9782-0009-40C1-B956-14507EF7C3B9}"/>
    <cellStyle name="UnclassifiedTotalRowDescCol" xfId="6" xr:uid="{40475FA6-5092-4F1F-8814-6A4C9336A244}"/>
    <cellStyle name="UnclassifiedTotalRowNameCol" xfId="7" xr:uid="{381C3917-5574-4EDA-ADD2-20F8A3AAEA8E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4161D-39E3-49A4-BE92-C49CDB748238}">
  <sheetPr>
    <pageSetUpPr fitToPage="1"/>
  </sheetPr>
  <dimension ref="A1:W81"/>
  <sheetViews>
    <sheetView tabSelected="1" workbookViewId="0">
      <selection activeCell="G3" sqref="G3"/>
    </sheetView>
  </sheetViews>
  <sheetFormatPr defaultColWidth="15.7109375" defaultRowHeight="12"/>
  <cols>
    <col min="1" max="1" width="4.5703125" style="6" bestFit="1" customWidth="1"/>
    <col min="2" max="2" width="13" style="6" customWidth="1"/>
    <col min="3" max="3" width="11" style="6" bestFit="1" customWidth="1"/>
    <col min="4" max="4" width="12.85546875" style="8" bestFit="1" customWidth="1"/>
    <col min="5" max="5" width="8.42578125" style="6" bestFit="1" customWidth="1"/>
    <col min="6" max="6" width="5.7109375" style="6" customWidth="1"/>
    <col min="7" max="7" width="38" style="6" bestFit="1" customWidth="1"/>
    <col min="8" max="8" width="1.7109375" style="6" customWidth="1"/>
    <col min="9" max="9" width="14.85546875" style="6" customWidth="1"/>
    <col min="10" max="10" width="16.5703125" style="6" customWidth="1"/>
    <col min="11" max="11" width="14.28515625" style="8" bestFit="1" customWidth="1"/>
    <col min="12" max="12" width="14.140625" style="6" customWidth="1"/>
    <col min="13" max="13" width="2.7109375" style="6" customWidth="1"/>
    <col min="14" max="14" width="14.7109375" style="6" bestFit="1" customWidth="1"/>
    <col min="15" max="15" width="14.28515625" style="8" bestFit="1" customWidth="1"/>
    <col min="16" max="16" width="13.5703125" style="6" bestFit="1" customWidth="1"/>
    <col min="17" max="17" width="15.7109375" style="6"/>
    <col min="18" max="18" width="0" style="6" hidden="1" customWidth="1"/>
    <col min="19" max="19" width="15.7109375" style="6"/>
    <col min="20" max="20" width="0" style="6" hidden="1" customWidth="1"/>
    <col min="21" max="21" width="15.7109375" style="6"/>
    <col min="22" max="22" width="0" style="6" hidden="1" customWidth="1"/>
    <col min="23" max="16384" width="15.7109375" style="6"/>
  </cols>
  <sheetData>
    <row r="1" spans="2:17" s="3" customFormat="1">
      <c r="B1" s="96" t="s">
        <v>646</v>
      </c>
      <c r="C1" s="96"/>
      <c r="D1" s="96"/>
      <c r="E1" s="96"/>
      <c r="F1" s="96"/>
      <c r="G1" s="96"/>
      <c r="H1" s="5"/>
      <c r="I1" s="97" t="s">
        <v>18</v>
      </c>
      <c r="J1" s="97"/>
      <c r="K1" s="97"/>
      <c r="L1" s="97"/>
      <c r="M1" s="97"/>
      <c r="N1" s="97"/>
      <c r="O1" s="97"/>
      <c r="P1" s="97"/>
      <c r="Q1" s="56"/>
    </row>
    <row r="2" spans="2:17">
      <c r="B2" s="7"/>
    </row>
    <row r="3" spans="2:17">
      <c r="B3" s="96" t="s">
        <v>19</v>
      </c>
      <c r="C3" s="96"/>
      <c r="D3" s="96"/>
      <c r="E3" s="96"/>
      <c r="I3" s="96" t="s">
        <v>71</v>
      </c>
      <c r="J3" s="96"/>
      <c r="K3" s="96"/>
      <c r="L3" s="96"/>
      <c r="M3" s="96"/>
      <c r="N3" s="96"/>
      <c r="O3" s="96"/>
      <c r="P3" s="96"/>
    </row>
    <row r="4" spans="2:17" s="3" customFormat="1" ht="24">
      <c r="B4" s="9">
        <v>46204</v>
      </c>
      <c r="C4" s="10" t="s">
        <v>20</v>
      </c>
      <c r="D4" s="11" t="s">
        <v>21</v>
      </c>
      <c r="E4" s="12" t="s">
        <v>22</v>
      </c>
      <c r="F4" s="4"/>
      <c r="G4" s="13" t="s">
        <v>10</v>
      </c>
      <c r="H4" s="4"/>
      <c r="I4" s="25" t="s">
        <v>421</v>
      </c>
      <c r="J4" s="14" t="s">
        <v>647</v>
      </c>
      <c r="K4" s="11" t="s">
        <v>21</v>
      </c>
      <c r="L4" s="12" t="s">
        <v>23</v>
      </c>
      <c r="M4" s="15"/>
      <c r="N4" s="12" t="s">
        <v>24</v>
      </c>
      <c r="O4" s="11" t="s">
        <v>21</v>
      </c>
      <c r="P4" s="12" t="s">
        <v>25</v>
      </c>
    </row>
    <row r="6" spans="2:17">
      <c r="B6" s="16">
        <f>+'Full Data New'!B4</f>
        <v>167797.57</v>
      </c>
      <c r="C6" s="16">
        <f>+'Full Data New'!C4</f>
        <v>68000</v>
      </c>
      <c r="D6" s="16">
        <f t="shared" ref="D6:D13" si="0">B6-C6</f>
        <v>99797.57</v>
      </c>
      <c r="E6" s="17">
        <f>+B6/C6</f>
        <v>2.4676113235294119</v>
      </c>
      <c r="G6" s="6" t="s">
        <v>9</v>
      </c>
      <c r="H6" s="6" t="s">
        <v>2</v>
      </c>
      <c r="I6" s="16">
        <f>+'Full Data New'!D4</f>
        <v>476704.29</v>
      </c>
      <c r="J6" s="16">
        <f>+'Full Data New'!E4</f>
        <v>289000</v>
      </c>
      <c r="K6" s="16">
        <f t="shared" ref="K6:K13" si="1">I6-J6</f>
        <v>187704.28999999998</v>
      </c>
      <c r="L6" s="17">
        <f>+I6/J6</f>
        <v>1.6494958131487889</v>
      </c>
      <c r="M6" s="17"/>
      <c r="N6" s="16">
        <v>850000</v>
      </c>
      <c r="O6" s="16">
        <f t="shared" ref="O6:O13" si="2">I6-N6</f>
        <v>-373295.71</v>
      </c>
      <c r="P6" s="17">
        <f t="shared" ref="P6:P14" si="3">+I6/N6</f>
        <v>0.56082857647058826</v>
      </c>
    </row>
    <row r="7" spans="2:17">
      <c r="B7" s="16">
        <f>+'Full Data New'!B6</f>
        <v>689.26</v>
      </c>
      <c r="C7" s="16">
        <f>+'Full Data New'!C6</f>
        <v>2700</v>
      </c>
      <c r="D7" s="16">
        <f t="shared" si="0"/>
        <v>-2010.74</v>
      </c>
      <c r="E7" s="17">
        <f>+B7/C7</f>
        <v>0.2552814814814815</v>
      </c>
      <c r="G7" s="6" t="s">
        <v>26</v>
      </c>
      <c r="I7" s="16">
        <f>+'Full Data New'!D6</f>
        <v>74056.37</v>
      </c>
      <c r="J7" s="16">
        <f>+'Full Data New'!E6</f>
        <v>73400</v>
      </c>
      <c r="K7" s="16">
        <f t="shared" si="1"/>
        <v>656.36999999999534</v>
      </c>
      <c r="L7" s="17">
        <f>+I7/J7</f>
        <v>1.0089423705722069</v>
      </c>
      <c r="M7" s="17"/>
      <c r="N7" s="16">
        <v>825000</v>
      </c>
      <c r="O7" s="16">
        <f t="shared" si="2"/>
        <v>-750943.63</v>
      </c>
      <c r="P7" s="17">
        <f t="shared" si="3"/>
        <v>8.976529696969697E-2</v>
      </c>
    </row>
    <row r="8" spans="2:17">
      <c r="B8" s="16">
        <f>+'Full Data New'!B8</f>
        <v>86258.19</v>
      </c>
      <c r="C8" s="16">
        <f>+'Full Data New'!C8</f>
        <v>75075</v>
      </c>
      <c r="D8" s="16">
        <f t="shared" si="0"/>
        <v>11183.190000000002</v>
      </c>
      <c r="E8" s="17">
        <f>+B8/C8</f>
        <v>1.1489602397602399</v>
      </c>
      <c r="G8" s="6" t="s">
        <v>8</v>
      </c>
      <c r="I8" s="16">
        <f>+'Full Data New'!D8</f>
        <v>145712.46</v>
      </c>
      <c r="J8" s="16">
        <f>+'Full Data New'!E8</f>
        <v>129650</v>
      </c>
      <c r="K8" s="16">
        <f t="shared" si="1"/>
        <v>16062.459999999992</v>
      </c>
      <c r="L8" s="17">
        <f>+I8/J8</f>
        <v>1.1238909371384496</v>
      </c>
      <c r="M8" s="17"/>
      <c r="N8" s="16">
        <v>475000</v>
      </c>
      <c r="O8" s="16">
        <f t="shared" si="2"/>
        <v>-329287.54000000004</v>
      </c>
      <c r="P8" s="17">
        <f t="shared" si="3"/>
        <v>0.30676307368421052</v>
      </c>
    </row>
    <row r="9" spans="2:17">
      <c r="B9" s="16">
        <f>+'Full Data New'!B10</f>
        <v>20006</v>
      </c>
      <c r="C9" s="16">
        <f>+'Full Data New'!C10</f>
        <v>11530</v>
      </c>
      <c r="D9" s="16">
        <f t="shared" si="0"/>
        <v>8476</v>
      </c>
      <c r="E9" s="17">
        <f>+B9/C9</f>
        <v>1.7351257588898525</v>
      </c>
      <c r="G9" s="6" t="s">
        <v>27</v>
      </c>
      <c r="I9" s="16">
        <f>+'Full Data New'!D10</f>
        <v>591227.69999999995</v>
      </c>
      <c r="J9" s="16">
        <f>+'Full Data New'!E10</f>
        <v>564870</v>
      </c>
      <c r="K9" s="16">
        <f t="shared" si="1"/>
        <v>26357.699999999953</v>
      </c>
      <c r="L9" s="17">
        <f t="shared" ref="L9:L14" si="4">+I9/J9</f>
        <v>1.0466615327420468</v>
      </c>
      <c r="M9" s="17"/>
      <c r="N9" s="16">
        <v>629826</v>
      </c>
      <c r="O9" s="16">
        <f t="shared" si="2"/>
        <v>-38598.300000000047</v>
      </c>
      <c r="P9" s="17">
        <f t="shared" si="3"/>
        <v>0.9387159310666755</v>
      </c>
    </row>
    <row r="10" spans="2:17">
      <c r="B10" s="16">
        <f>+'Full Data New'!B14</f>
        <v>769170.65</v>
      </c>
      <c r="C10" s="16">
        <f>+'Full Data New'!C14</f>
        <v>524010</v>
      </c>
      <c r="D10" s="16">
        <f t="shared" si="0"/>
        <v>245160.65000000002</v>
      </c>
      <c r="E10" s="17">
        <f>+B10/C10</f>
        <v>1.4678549073490965</v>
      </c>
      <c r="G10" s="6" t="s">
        <v>28</v>
      </c>
      <c r="I10" s="16">
        <f>+'Full Data New'!D14</f>
        <v>1427641.81</v>
      </c>
      <c r="J10" s="16">
        <f>+'Full Data New'!E14</f>
        <v>1471386</v>
      </c>
      <c r="K10" s="16">
        <f t="shared" si="1"/>
        <v>-43744.189999999944</v>
      </c>
      <c r="L10" s="17">
        <f t="shared" si="4"/>
        <v>0.97027007868771353</v>
      </c>
      <c r="M10" s="17"/>
      <c r="N10" s="16">
        <v>2087740</v>
      </c>
      <c r="O10" s="16">
        <f t="shared" si="2"/>
        <v>-660098.18999999994</v>
      </c>
      <c r="P10" s="17">
        <f t="shared" si="3"/>
        <v>0.68382164924751165</v>
      </c>
    </row>
    <row r="11" spans="2:17">
      <c r="B11" s="16">
        <f>+'Full Data New'!B18</f>
        <v>55098.33</v>
      </c>
      <c r="C11" s="16">
        <f>+'Full Data New'!C18</f>
        <v>15500</v>
      </c>
      <c r="D11" s="16">
        <f t="shared" si="0"/>
        <v>39598.33</v>
      </c>
      <c r="E11" s="17">
        <f>+B11/C11</f>
        <v>3.5547309677419356</v>
      </c>
      <c r="G11" s="6" t="s">
        <v>29</v>
      </c>
      <c r="I11" s="16">
        <f>+'Full Data New'!D18</f>
        <v>248730.33</v>
      </c>
      <c r="J11" s="16">
        <f>+'Full Data New'!E18</f>
        <v>141225</v>
      </c>
      <c r="K11" s="16">
        <f t="shared" si="1"/>
        <v>107505.32999999999</v>
      </c>
      <c r="L11" s="17">
        <f t="shared" si="4"/>
        <v>1.7612344131704725</v>
      </c>
      <c r="M11" s="17"/>
      <c r="N11" s="16">
        <v>500000</v>
      </c>
      <c r="O11" s="16">
        <f t="shared" si="2"/>
        <v>-251269.67</v>
      </c>
      <c r="P11" s="17">
        <f t="shared" si="3"/>
        <v>0.49746066</v>
      </c>
    </row>
    <row r="12" spans="2:17">
      <c r="B12" s="16">
        <f>+'Full Data New'!B20</f>
        <v>145967.25</v>
      </c>
      <c r="C12" s="16">
        <f>+'Full Data New'!C20</f>
        <v>85550</v>
      </c>
      <c r="D12" s="16">
        <f t="shared" si="0"/>
        <v>60417.25</v>
      </c>
      <c r="E12" s="17">
        <f>+B12/C12</f>
        <v>1.7062215078901228</v>
      </c>
      <c r="G12" s="6" t="s">
        <v>30</v>
      </c>
      <c r="I12" s="16">
        <f>+'Full Data New'!D20</f>
        <v>325420.78999999998</v>
      </c>
      <c r="J12" s="16">
        <f>+'Full Data New'!E20</f>
        <v>206175</v>
      </c>
      <c r="K12" s="16">
        <f t="shared" si="1"/>
        <v>119245.78999999998</v>
      </c>
      <c r="L12" s="17">
        <f t="shared" si="4"/>
        <v>1.5783717230508063</v>
      </c>
      <c r="M12" s="17"/>
      <c r="N12" s="16">
        <v>514500</v>
      </c>
      <c r="O12" s="16">
        <f t="shared" si="2"/>
        <v>-189079.21000000002</v>
      </c>
      <c r="P12" s="17">
        <f t="shared" si="3"/>
        <v>0.63249910592808545</v>
      </c>
    </row>
    <row r="13" spans="2:17">
      <c r="B13" s="16">
        <f>+'Full Data New'!B26-'Full Data New'!B42-'Full Data New'!B35-'Full Data New'!B36-'Full Data New'!B41</f>
        <v>102730.42000000001</v>
      </c>
      <c r="C13" s="16">
        <f>+'Full Data New'!C26-'Full Data New'!C42-'Full Data New'!C35-'Full Data New'!C36-'Full Data New'!C41-'Full Data New'!C71</f>
        <v>115560</v>
      </c>
      <c r="D13" s="16">
        <f t="shared" si="0"/>
        <v>-12829.579999999987</v>
      </c>
      <c r="E13" s="17">
        <f>+B13/C13</f>
        <v>0.88897905849775016</v>
      </c>
      <c r="G13" s="6" t="s">
        <v>31</v>
      </c>
      <c r="I13" s="16">
        <f>+'Full Data New'!D26-'Full Data New'!D42-'Full Data New'!D35-'Full Data New'!D36-'Full Data New'!D41</f>
        <v>329197.58999999997</v>
      </c>
      <c r="J13" s="16">
        <f>+'Full Data New'!E26-'Full Data New'!E42-'Full Data New'!E35-'Full Data New'!E36-'Full Data New'!E41</f>
        <v>326480</v>
      </c>
      <c r="K13" s="16">
        <f t="shared" si="1"/>
        <v>2717.5899999999674</v>
      </c>
      <c r="L13" s="17">
        <f t="shared" si="4"/>
        <v>1.0083239095809851</v>
      </c>
      <c r="M13" s="17"/>
      <c r="N13" s="16">
        <f>6656566-5882066</f>
        <v>774500</v>
      </c>
      <c r="O13" s="16">
        <f t="shared" si="2"/>
        <v>-445302.41000000003</v>
      </c>
      <c r="P13" s="17">
        <f t="shared" si="3"/>
        <v>0.42504530664945123</v>
      </c>
    </row>
    <row r="14" spans="2:17">
      <c r="B14" s="18">
        <f>SUM(B6:B13)</f>
        <v>1347717.67</v>
      </c>
      <c r="C14" s="18">
        <f>SUM(C6:C13)</f>
        <v>897925</v>
      </c>
      <c r="D14" s="18">
        <f>SUM(D6:D13)</f>
        <v>449792.67000000004</v>
      </c>
      <c r="E14" s="17">
        <f>+B14/C14</f>
        <v>1.5009245426956594</v>
      </c>
      <c r="F14" s="3"/>
      <c r="G14" s="19" t="s">
        <v>17</v>
      </c>
      <c r="H14" s="3"/>
      <c r="I14" s="18">
        <f>SUM(I6:I13)</f>
        <v>3618691.34</v>
      </c>
      <c r="J14" s="18">
        <f>SUM(J6:J13)</f>
        <v>3202186</v>
      </c>
      <c r="K14" s="18">
        <f>SUM(K6:K13)</f>
        <v>416505.33999999991</v>
      </c>
      <c r="L14" s="17">
        <f t="shared" si="4"/>
        <v>1.1300690653197534</v>
      </c>
      <c r="M14" s="17"/>
      <c r="N14" s="18">
        <f>SUM(N6:N13)</f>
        <v>6656566</v>
      </c>
      <c r="O14" s="18">
        <f>SUM(O6:O13)</f>
        <v>-3037874.66</v>
      </c>
      <c r="P14" s="17">
        <f t="shared" si="3"/>
        <v>0.54362735079919589</v>
      </c>
      <c r="Q14" s="20"/>
    </row>
    <row r="15" spans="2:17">
      <c r="E15" s="17"/>
      <c r="L15" s="21"/>
      <c r="M15" s="21"/>
      <c r="P15" s="21"/>
      <c r="Q15" s="20"/>
    </row>
    <row r="16" spans="2:17">
      <c r="B16" s="16">
        <f>+B6*F16</f>
        <v>21813.684100000002</v>
      </c>
      <c r="C16" s="16">
        <f>+F16*C6</f>
        <v>8840</v>
      </c>
      <c r="D16" s="16">
        <f>B16-C16</f>
        <v>12973.684100000002</v>
      </c>
      <c r="E16" s="17">
        <f>+B16/C16</f>
        <v>2.4676113235294119</v>
      </c>
      <c r="F16" s="44">
        <v>0.13</v>
      </c>
      <c r="G16" s="6" t="s">
        <v>648</v>
      </c>
      <c r="I16" s="16">
        <f>+F16*I6</f>
        <v>61971.557699999998</v>
      </c>
      <c r="J16" s="16">
        <f>+F16*J6</f>
        <v>37570</v>
      </c>
      <c r="K16" s="16">
        <f>+I16-J16</f>
        <v>24401.557699999998</v>
      </c>
      <c r="L16" s="17">
        <v>0</v>
      </c>
      <c r="N16" s="16">
        <v>124000</v>
      </c>
      <c r="O16" s="16">
        <f>I16-N16</f>
        <v>-62028.442300000002</v>
      </c>
      <c r="P16" s="17">
        <f>+I16/N16</f>
        <v>0.49977062661290322</v>
      </c>
      <c r="Q16" s="20"/>
    </row>
    <row r="17" spans="1:17">
      <c r="B17" s="16">
        <f>+F17*B11</f>
        <v>11019.666000000001</v>
      </c>
      <c r="C17" s="16">
        <f>+F17*C11</f>
        <v>3100</v>
      </c>
      <c r="D17" s="16">
        <f>B17-C17</f>
        <v>7919.6660000000011</v>
      </c>
      <c r="E17" s="17">
        <f>+B17/C17</f>
        <v>3.5547309677419356</v>
      </c>
      <c r="F17" s="44">
        <v>0.2</v>
      </c>
      <c r="G17" s="6" t="s">
        <v>69</v>
      </c>
      <c r="I17" s="16">
        <f>+F17*I11</f>
        <v>49746.065999999999</v>
      </c>
      <c r="J17" s="16">
        <f>+F17*J11</f>
        <v>28245</v>
      </c>
      <c r="K17" s="16">
        <f>+I17-J17</f>
        <v>21501.065999999999</v>
      </c>
      <c r="L17" s="17">
        <f>+I17/J17</f>
        <v>1.7612344131704727</v>
      </c>
      <c r="N17" s="16">
        <f>+F17*N11</f>
        <v>100000</v>
      </c>
      <c r="O17" s="16">
        <f>I17-N17</f>
        <v>-50253.934000000001</v>
      </c>
      <c r="P17" s="17">
        <f>+I17/N17</f>
        <v>0.49746066</v>
      </c>
      <c r="Q17" s="20"/>
    </row>
    <row r="18" spans="1:17">
      <c r="B18" s="16">
        <f>+F18*B8-'Full Data New'!B71</f>
        <v>43129.095000000001</v>
      </c>
      <c r="C18" s="16">
        <f>+F18*C12</f>
        <v>42775</v>
      </c>
      <c r="D18" s="16">
        <f>B18-C18</f>
        <v>354.09500000000116</v>
      </c>
      <c r="E18" s="17">
        <f>+B18/C18</f>
        <v>1.0082780829924021</v>
      </c>
      <c r="F18" s="44">
        <v>0.5</v>
      </c>
      <c r="G18" s="6" t="s">
        <v>70</v>
      </c>
      <c r="I18" s="16">
        <f>+F18*I8</f>
        <v>72856.23</v>
      </c>
      <c r="J18" s="16">
        <f>+F18*J8</f>
        <v>64825</v>
      </c>
      <c r="K18" s="16">
        <f>+I18-J18</f>
        <v>8031.2299999999959</v>
      </c>
      <c r="L18" s="17">
        <v>0</v>
      </c>
      <c r="N18" s="16">
        <f>+F18*N8</f>
        <v>237500</v>
      </c>
      <c r="O18" s="16">
        <f>I18-N18</f>
        <v>-164643.77000000002</v>
      </c>
      <c r="P18" s="17">
        <f>+I18/N18</f>
        <v>0.30676307368421052</v>
      </c>
      <c r="Q18" s="20"/>
    </row>
    <row r="19" spans="1:17" s="22" customFormat="1" ht="14.25">
      <c r="A19" s="6"/>
      <c r="B19" s="18">
        <f>SUM(B16:B18)</f>
        <v>75962.445100000012</v>
      </c>
      <c r="C19" s="18">
        <f>SUM(C16:C18)</f>
        <v>54715</v>
      </c>
      <c r="D19" s="18">
        <f>SUM(D11:D18)</f>
        <v>558226.11509999994</v>
      </c>
      <c r="E19" s="17">
        <f>+B19/C19</f>
        <v>1.3883294361692409</v>
      </c>
      <c r="F19" s="6"/>
      <c r="G19" s="19" t="s">
        <v>32</v>
      </c>
      <c r="H19" s="6"/>
      <c r="I19" s="18">
        <f>SUM(I16:I18)</f>
        <v>184573.85369999998</v>
      </c>
      <c r="J19" s="18">
        <f>SUM(J16:J18)</f>
        <v>130640</v>
      </c>
      <c r="K19" s="18">
        <f>SUM(K16:K18)</f>
        <v>53933.853699999992</v>
      </c>
      <c r="L19" s="17">
        <f>+I19/J19</f>
        <v>1.4128433381812613</v>
      </c>
      <c r="N19" s="18">
        <f>SUM(N16:N18)</f>
        <v>461500</v>
      </c>
      <c r="O19" s="18">
        <f>SUM(O16:O18)</f>
        <v>-276926.14630000002</v>
      </c>
      <c r="P19" s="17">
        <f>+I19/N19</f>
        <v>0.39994334496208012</v>
      </c>
    </row>
    <row r="20" spans="1:17" s="22" customFormat="1" ht="14.25">
      <c r="A20" s="6"/>
      <c r="B20" s="8"/>
      <c r="C20" s="8"/>
      <c r="D20" s="8"/>
      <c r="E20" s="17"/>
      <c r="F20" s="6"/>
      <c r="G20" s="3"/>
      <c r="H20" s="6"/>
      <c r="I20" s="8"/>
      <c r="J20" s="8"/>
      <c r="K20" s="8"/>
      <c r="L20" s="21"/>
      <c r="N20" s="8"/>
    </row>
    <row r="21" spans="1:17" s="22" customFormat="1" ht="14.25">
      <c r="A21" s="6"/>
      <c r="B21" s="18">
        <f>+B14-B19</f>
        <v>1271755.2248999998</v>
      </c>
      <c r="C21" s="18">
        <f>+C14-C19</f>
        <v>843210</v>
      </c>
      <c r="D21" s="18">
        <f>+D14-D19</f>
        <v>-108433.4450999999</v>
      </c>
      <c r="E21" s="17">
        <f>+B21/C21</f>
        <v>1.5082307193937452</v>
      </c>
      <c r="F21" s="6"/>
      <c r="G21" s="19" t="s">
        <v>33</v>
      </c>
      <c r="H21" s="6"/>
      <c r="I21" s="18">
        <f>+I14-I19</f>
        <v>3434117.4863</v>
      </c>
      <c r="J21" s="18">
        <f>+J14-J19</f>
        <v>3071546</v>
      </c>
      <c r="K21" s="18">
        <f>+K14-K19</f>
        <v>362571.48629999993</v>
      </c>
      <c r="L21" s="17">
        <f>+I21/J21</f>
        <v>1.1180420173749637</v>
      </c>
      <c r="N21" s="18">
        <f>+N14-N19</f>
        <v>6195066</v>
      </c>
      <c r="O21" s="18">
        <f>+O14-O19</f>
        <v>-2760948.5137</v>
      </c>
      <c r="P21" s="17">
        <f>+I21/N21</f>
        <v>0.55433105737695132</v>
      </c>
    </row>
    <row r="22" spans="1:17" s="22" customFormat="1" ht="14.25">
      <c r="A22" s="6"/>
      <c r="B22" s="8"/>
      <c r="C22" s="8"/>
      <c r="D22" s="8"/>
      <c r="E22" s="17"/>
      <c r="F22" s="6"/>
      <c r="G22" s="6"/>
      <c r="H22" s="6"/>
      <c r="I22" s="8"/>
      <c r="J22" s="8"/>
      <c r="K22" s="8"/>
      <c r="L22" s="21"/>
    </row>
    <row r="23" spans="1:17" s="3" customFormat="1" ht="24">
      <c r="B23" s="9">
        <f>+B4</f>
        <v>46204</v>
      </c>
      <c r="C23" s="55" t="s">
        <v>20</v>
      </c>
      <c r="D23" s="23" t="s">
        <v>21</v>
      </c>
      <c r="E23" s="24"/>
      <c r="G23" s="13" t="s">
        <v>16</v>
      </c>
      <c r="I23" s="25" t="str">
        <f>I4</f>
        <v>July 2026</v>
      </c>
      <c r="J23" s="12" t="str">
        <f>J4</f>
        <v>YTD Budget</v>
      </c>
      <c r="K23" s="11" t="s">
        <v>21</v>
      </c>
      <c r="L23" s="12" t="s">
        <v>22</v>
      </c>
      <c r="M23" s="15"/>
      <c r="N23" s="12" t="s">
        <v>24</v>
      </c>
      <c r="O23" s="11" t="s">
        <v>21</v>
      </c>
      <c r="P23" s="12" t="s">
        <v>25</v>
      </c>
      <c r="Q23" s="20"/>
    </row>
    <row r="24" spans="1:17">
      <c r="B24" s="16">
        <f>SUM('Full Data New'!B63:B88)</f>
        <v>39295.520000000004</v>
      </c>
      <c r="C24" s="16">
        <f>SUM('Full Data New'!C63:C88)</f>
        <v>85363</v>
      </c>
      <c r="D24" s="16">
        <f>+B24-C24</f>
        <v>-46067.479999999996</v>
      </c>
      <c r="E24" s="17">
        <f>+B24/C24</f>
        <v>0.46033433689069042</v>
      </c>
      <c r="G24" s="6" t="s">
        <v>34</v>
      </c>
      <c r="I24" s="16">
        <f>SUM('Full Data New'!D63:D88)</f>
        <v>389827.92</v>
      </c>
      <c r="J24" s="16">
        <f>SUM('Full Data New'!E63:E88)</f>
        <v>239312</v>
      </c>
      <c r="K24" s="16">
        <f>I24-J24</f>
        <v>150515.91999999998</v>
      </c>
      <c r="L24" s="17">
        <f>+I24/J24</f>
        <v>1.628952664304339</v>
      </c>
      <c r="M24" s="17"/>
      <c r="N24" s="16">
        <v>421000</v>
      </c>
      <c r="O24" s="16">
        <f>I24-N24</f>
        <v>-31172.080000000016</v>
      </c>
      <c r="P24" s="17">
        <f>+I24/N24</f>
        <v>0.92595705463182898</v>
      </c>
      <c r="Q24" s="20"/>
    </row>
    <row r="25" spans="1:17">
      <c r="B25" s="16">
        <f>SUM('Full Data New'!B90:B97)-'Full Data New'!B95-'Full Data New'!B96-'Full Data New'!B97-'Full Data New'!B98</f>
        <v>19393.27</v>
      </c>
      <c r="C25" s="16">
        <f>SUM('Full Data New'!C90:C97)-'Full Data New'!C95-'Full Data New'!C96-'Full Data New'!C97-'Full Data New'!C98</f>
        <v>8124</v>
      </c>
      <c r="D25" s="16">
        <f>+B25-C25</f>
        <v>11269.27</v>
      </c>
      <c r="E25" s="17">
        <f>+B25/C25</f>
        <v>2.38715780403742</v>
      </c>
      <c r="G25" s="6" t="s">
        <v>35</v>
      </c>
      <c r="I25" s="16">
        <f>SUM('Full Data New'!D90:D98)-'Full Data New'!D95-'Full Data New'!D96-'Full Data New'!D97-'Full Data New'!D98-'Full Data New'!D71</f>
        <v>42080.509999999937</v>
      </c>
      <c r="J25" s="16">
        <f>SUM('Full Data New'!E90:E98)-'Full Data New'!E95-'Full Data New'!E96-'Full Data New'!E97-'Full Data New'!E98-'Full Data New'!E71</f>
        <v>32499</v>
      </c>
      <c r="K25" s="16">
        <f>I25-J25</f>
        <v>9581.5099999999366</v>
      </c>
      <c r="L25" s="17">
        <f>+I25/J25</f>
        <v>1.2948247638388855</v>
      </c>
      <c r="M25" s="17"/>
      <c r="N25" s="16">
        <v>97500</v>
      </c>
      <c r="O25" s="16">
        <f>I25-N25</f>
        <v>-55419.490000000063</v>
      </c>
      <c r="P25" s="17">
        <f>+I25/N25</f>
        <v>0.4315949743589737</v>
      </c>
      <c r="Q25" s="20"/>
    </row>
    <row r="26" spans="1:17" s="3" customFormat="1">
      <c r="B26" s="26">
        <f>SUM(B24:B25)</f>
        <v>58688.790000000008</v>
      </c>
      <c r="C26" s="26">
        <f>SUM(C24:C25)</f>
        <v>93487</v>
      </c>
      <c r="D26" s="26">
        <f>+B26-C26</f>
        <v>-34798.209999999992</v>
      </c>
      <c r="E26" s="17">
        <f>+B26/C26</f>
        <v>0.62777487779049501</v>
      </c>
      <c r="G26" s="3" t="s">
        <v>36</v>
      </c>
      <c r="I26" s="26">
        <f>SUM(I24:I25)</f>
        <v>431908.42999999993</v>
      </c>
      <c r="J26" s="26">
        <f>SUM(J24:J25)</f>
        <v>271811</v>
      </c>
      <c r="K26" s="26">
        <f>SUM(K24:K25)</f>
        <v>160097.42999999993</v>
      </c>
      <c r="L26" s="17">
        <f>+I26/J26</f>
        <v>1.5890027629492549</v>
      </c>
      <c r="M26" s="17"/>
      <c r="N26" s="26">
        <f>SUM(N24:N25)</f>
        <v>518500</v>
      </c>
      <c r="O26" s="26">
        <f>SUM(O24:O25)</f>
        <v>-86591.57000000008</v>
      </c>
      <c r="P26" s="17">
        <f>+I26/N26</f>
        <v>0.83299600771456106</v>
      </c>
      <c r="Q26" s="20"/>
    </row>
    <row r="27" spans="1:17">
      <c r="B27" s="8"/>
      <c r="C27" s="8"/>
      <c r="E27" s="17"/>
      <c r="I27" s="8"/>
      <c r="J27" s="8"/>
      <c r="L27" s="21"/>
      <c r="M27" s="21"/>
      <c r="N27" s="8"/>
      <c r="P27" s="21"/>
      <c r="Q27" s="20"/>
    </row>
    <row r="28" spans="1:17">
      <c r="B28" s="16">
        <f>SUM('Full Data New'!B101:B107)</f>
        <v>54383.56</v>
      </c>
      <c r="C28" s="16">
        <f>SUM('Full Data New'!C101:C107)</f>
        <v>60165</v>
      </c>
      <c r="D28" s="16">
        <f>B28-C28</f>
        <v>-5781.4400000000023</v>
      </c>
      <c r="E28" s="17">
        <f>+B28/C28</f>
        <v>0.90390692262943573</v>
      </c>
      <c r="G28" s="6" t="s">
        <v>37</v>
      </c>
      <c r="I28" s="16">
        <f>SUM('Full Data New'!D101:D107)</f>
        <v>195193.06</v>
      </c>
      <c r="J28" s="16">
        <f>SUM('Full Data New'!E101:E107)</f>
        <v>188117</v>
      </c>
      <c r="K28" s="16">
        <f>I28-J28</f>
        <v>7076.0599999999977</v>
      </c>
      <c r="L28" s="17">
        <f>+I28/J28</f>
        <v>1.0376152075569991</v>
      </c>
      <c r="M28" s="17"/>
      <c r="N28" s="16">
        <v>546832</v>
      </c>
      <c r="O28" s="16">
        <f>I28-N28</f>
        <v>-351638.94</v>
      </c>
      <c r="P28" s="17">
        <f>+I28/N28</f>
        <v>0.35695251923808408</v>
      </c>
      <c r="Q28" s="20"/>
    </row>
    <row r="29" spans="1:17">
      <c r="B29" s="16">
        <f>SUM('Full Data New'!B109:B111)</f>
        <v>2152.96</v>
      </c>
      <c r="C29" s="16">
        <f>SUM('Full Data New'!C109:C111)</f>
        <v>1092</v>
      </c>
      <c r="D29" s="16">
        <f>B29-C29</f>
        <v>1060.96</v>
      </c>
      <c r="E29" s="17">
        <f>+B29/C29</f>
        <v>1.9715750915750916</v>
      </c>
      <c r="G29" s="6" t="s">
        <v>38</v>
      </c>
      <c r="I29" s="16">
        <f>SUM('Full Data New'!D109:D111)</f>
        <v>3864.61</v>
      </c>
      <c r="J29" s="16">
        <f>SUM('Full Data New'!E109:E111)</f>
        <v>2730</v>
      </c>
      <c r="K29" s="16">
        <f>I29-J29</f>
        <v>1134.6100000000001</v>
      </c>
      <c r="L29" s="17">
        <f>+I29/J29</f>
        <v>1.4156080586080586</v>
      </c>
      <c r="M29" s="17"/>
      <c r="N29" s="16">
        <v>5465</v>
      </c>
      <c r="O29" s="16">
        <f>I29-N29</f>
        <v>-1600.3899999999999</v>
      </c>
      <c r="P29" s="17">
        <f>+I29/N29</f>
        <v>0.70715645013723694</v>
      </c>
      <c r="Q29" s="20"/>
    </row>
    <row r="30" spans="1:17">
      <c r="B30" s="16">
        <f>SUM('Full Data New'!B113:B116)-'Full Data New'!B116</f>
        <v>214</v>
      </c>
      <c r="C30" s="16">
        <f>SUM('Full Data New'!C113:C116)-'Full Data New'!C116</f>
        <v>6872</v>
      </c>
      <c r="D30" s="16">
        <f>B30-C30</f>
        <v>-6658</v>
      </c>
      <c r="E30" s="17">
        <f>+B30/C30</f>
        <v>3.1140861466821886E-2</v>
      </c>
      <c r="G30" s="6" t="s">
        <v>39</v>
      </c>
      <c r="I30" s="16">
        <f>SUM('Full Data New'!D113:D116)-'Full Data New'!D116</f>
        <v>21952.540000000037</v>
      </c>
      <c r="J30" s="16">
        <f>SUM('Full Data New'!E113:E116)-'Full Data New'!E116</f>
        <v>27496</v>
      </c>
      <c r="K30" s="16">
        <f>I30-J30</f>
        <v>-5543.4599999999627</v>
      </c>
      <c r="L30" s="17">
        <f>+I30/J30</f>
        <v>0.79839031131801119</v>
      </c>
      <c r="M30" s="17"/>
      <c r="N30" s="16">
        <v>430500</v>
      </c>
      <c r="O30" s="16">
        <f>I30-N30</f>
        <v>-408547.45999999996</v>
      </c>
      <c r="P30" s="17">
        <f>+I30/N30</f>
        <v>5.0993124274099973E-2</v>
      </c>
      <c r="Q30" s="20"/>
    </row>
    <row r="31" spans="1:17" s="3" customFormat="1">
      <c r="B31" s="26">
        <f>SUM(B28:B30)</f>
        <v>56750.52</v>
      </c>
      <c r="C31" s="26">
        <f>SUM(C28:C30)</f>
        <v>68129</v>
      </c>
      <c r="D31" s="26">
        <f>+B31-C31</f>
        <v>-11378.480000000003</v>
      </c>
      <c r="E31" s="17">
        <f>+B31/C31</f>
        <v>0.83298624667909404</v>
      </c>
      <c r="G31" s="3" t="s">
        <v>5</v>
      </c>
      <c r="I31" s="26">
        <f>SUM(I28:I30)</f>
        <v>221010.21000000002</v>
      </c>
      <c r="J31" s="26">
        <f>SUM(J28:J30)</f>
        <v>218343</v>
      </c>
      <c r="K31" s="26">
        <f>SUM(K28:K30)</f>
        <v>2667.2100000000355</v>
      </c>
      <c r="L31" s="17">
        <f>+I31/J31</f>
        <v>1.0122156881603717</v>
      </c>
      <c r="M31" s="17"/>
      <c r="N31" s="26">
        <f>SUM(N28:N30)</f>
        <v>982797</v>
      </c>
      <c r="O31" s="26">
        <f>SUM(O28:O30)</f>
        <v>-761786.79</v>
      </c>
      <c r="P31" s="17">
        <f>+I31/N31</f>
        <v>0.224878799996337</v>
      </c>
      <c r="Q31" s="20"/>
    </row>
    <row r="32" spans="1:17">
      <c r="B32" s="8"/>
      <c r="C32" s="8"/>
      <c r="E32" s="17"/>
      <c r="I32" s="8"/>
      <c r="J32" s="8"/>
      <c r="L32" s="21"/>
      <c r="M32" s="21"/>
      <c r="N32" s="8"/>
      <c r="P32" s="21"/>
      <c r="Q32" s="20"/>
    </row>
    <row r="33" spans="1:23">
      <c r="A33" s="6" t="s">
        <v>2</v>
      </c>
      <c r="B33" s="16">
        <f>SUM('Full Data New'!B119:B128)</f>
        <v>212984.04</v>
      </c>
      <c r="C33" s="16">
        <f>SUM('Full Data New'!C119:C128)</f>
        <v>259832</v>
      </c>
      <c r="D33" s="16">
        <f>B33-C33</f>
        <v>-46847.959999999992</v>
      </c>
      <c r="E33" s="17">
        <f>+B33/C33</f>
        <v>0.81969903630037877</v>
      </c>
      <c r="G33" s="6" t="s">
        <v>40</v>
      </c>
      <c r="I33" s="16">
        <f>SUM('Full Data New'!D119:D128)</f>
        <v>776102.25</v>
      </c>
      <c r="J33" s="16">
        <f>SUM('Full Data New'!E119:E128)</f>
        <v>782000</v>
      </c>
      <c r="K33" s="16">
        <f>I33-J33</f>
        <v>-5897.75</v>
      </c>
      <c r="L33" s="17">
        <f>+I33/J33</f>
        <v>0.99245812020460356</v>
      </c>
      <c r="M33" s="17"/>
      <c r="N33" s="16">
        <v>2198569</v>
      </c>
      <c r="O33" s="16">
        <f>I33-N33</f>
        <v>-1422466.75</v>
      </c>
      <c r="P33" s="17">
        <f>+I33/N33</f>
        <v>0.35300336264179111</v>
      </c>
      <c r="Q33" s="20"/>
    </row>
    <row r="34" spans="1:23">
      <c r="B34" s="16">
        <f>SUM('Full Data New'!B130:B136)</f>
        <v>43260.219999999994</v>
      </c>
      <c r="C34" s="16">
        <f>SUM('Full Data New'!C130:C136)</f>
        <v>58945</v>
      </c>
      <c r="D34" s="16">
        <f>B34-C34</f>
        <v>-15684.780000000006</v>
      </c>
      <c r="E34" s="17">
        <f>+B34/C34</f>
        <v>0.73390821952667729</v>
      </c>
      <c r="G34" s="6" t="s">
        <v>41</v>
      </c>
      <c r="I34" s="16">
        <f>SUM('Full Data New'!D130:D136)</f>
        <v>176369.46999999997</v>
      </c>
      <c r="J34" s="16">
        <f>SUM('Full Data New'!E130:E136)</f>
        <v>190374</v>
      </c>
      <c r="K34" s="16">
        <f>I34-J34</f>
        <v>-14004.530000000028</v>
      </c>
      <c r="L34" s="17">
        <f>+I34/J34</f>
        <v>0.92643675081681309</v>
      </c>
      <c r="M34" s="17"/>
      <c r="N34" s="16">
        <v>555977</v>
      </c>
      <c r="O34" s="16">
        <f>I34-N34</f>
        <v>-379607.53</v>
      </c>
      <c r="P34" s="17">
        <f>+I34/N34</f>
        <v>0.31722439957048576</v>
      </c>
      <c r="Q34" s="20"/>
    </row>
    <row r="35" spans="1:23">
      <c r="B35" s="16">
        <f>SUM('Full Data New'!B138:B143)</f>
        <v>67475.820000000007</v>
      </c>
      <c r="C35" s="16">
        <f>SUM('Full Data New'!C138:C143)</f>
        <v>38398</v>
      </c>
      <c r="D35" s="16">
        <f>B35-C35</f>
        <v>29077.820000000007</v>
      </c>
      <c r="E35" s="17">
        <f>+B35/C35</f>
        <v>1.757274337205063</v>
      </c>
      <c r="G35" s="6" t="s">
        <v>42</v>
      </c>
      <c r="I35" s="16">
        <f>SUM('Full Data New'!D138:D143)</f>
        <v>169024.20999999996</v>
      </c>
      <c r="J35" s="16">
        <f>SUM('Full Data New'!E138:E143)</f>
        <v>130340</v>
      </c>
      <c r="K35" s="16">
        <f>I35-J35</f>
        <v>38684.209999999963</v>
      </c>
      <c r="L35" s="17">
        <f>+I35/J35</f>
        <v>1.2967946140862356</v>
      </c>
      <c r="M35" s="17"/>
      <c r="N35" s="16">
        <v>209665</v>
      </c>
      <c r="O35" s="16">
        <f>I35-N35</f>
        <v>-40640.790000000037</v>
      </c>
      <c r="P35" s="17">
        <f>+I35/N35</f>
        <v>0.80616321274413927</v>
      </c>
      <c r="Q35" s="20"/>
    </row>
    <row r="36" spans="1:23">
      <c r="B36" s="16">
        <f>SUM('Full Data New'!B145:B156)</f>
        <v>7827.9</v>
      </c>
      <c r="C36" s="16">
        <f>SUM('Full Data New'!C145:C156)</f>
        <v>29418</v>
      </c>
      <c r="D36" s="16">
        <f>B36-C36</f>
        <v>-21590.1</v>
      </c>
      <c r="E36" s="17">
        <f>+B36/C36</f>
        <v>0.26609218845604732</v>
      </c>
      <c r="G36" s="6" t="s">
        <v>43</v>
      </c>
      <c r="I36" s="16">
        <f>SUM('Full Data New'!D145:D156)</f>
        <v>110286.87</v>
      </c>
      <c r="J36" s="16">
        <f>SUM('Full Data New'!E145:E156)</f>
        <v>124668</v>
      </c>
      <c r="K36" s="16">
        <f>I36-J36</f>
        <v>-14381.130000000005</v>
      </c>
      <c r="L36" s="17">
        <f>+I36/J36</f>
        <v>0.88464457599383961</v>
      </c>
      <c r="M36" s="17"/>
      <c r="N36" s="16">
        <v>389500</v>
      </c>
      <c r="O36" s="16">
        <f>I36-N36</f>
        <v>-279213.13</v>
      </c>
      <c r="P36" s="17">
        <f>+I36/N36</f>
        <v>0.28314985879332477</v>
      </c>
      <c r="Q36" s="20"/>
    </row>
    <row r="37" spans="1:23" s="3" customFormat="1">
      <c r="B37" s="26">
        <f>SUM(B33:B36)</f>
        <v>331547.98000000004</v>
      </c>
      <c r="C37" s="26">
        <f>SUM(C33:C36)</f>
        <v>386593</v>
      </c>
      <c r="D37" s="26">
        <f>+B37-C37</f>
        <v>-55045.01999999996</v>
      </c>
      <c r="E37" s="17">
        <f>+B37/C37</f>
        <v>0.85761506286973654</v>
      </c>
      <c r="G37" s="3" t="s">
        <v>44</v>
      </c>
      <c r="I37" s="26">
        <f>SUM(I33:I36)</f>
        <v>1231782.7999999998</v>
      </c>
      <c r="J37" s="26">
        <f>SUM(J33:J36)</f>
        <v>1227382</v>
      </c>
      <c r="K37" s="26">
        <f>SUM(K33:K36)</f>
        <v>4400.7999999999302</v>
      </c>
      <c r="L37" s="17">
        <f>+I37/J37</f>
        <v>1.0035855177931563</v>
      </c>
      <c r="M37" s="17"/>
      <c r="N37" s="26">
        <f>SUM(N33:N36)</f>
        <v>3353711</v>
      </c>
      <c r="O37" s="26">
        <f>SUM(O33:O36)</f>
        <v>-2121928.2000000002</v>
      </c>
      <c r="P37" s="17">
        <f>+I37/N37</f>
        <v>0.36728948916588217</v>
      </c>
      <c r="Q37" s="20"/>
    </row>
    <row r="38" spans="1:23">
      <c r="B38" s="8"/>
      <c r="C38" s="8"/>
      <c r="E38" s="17"/>
      <c r="I38" s="8"/>
      <c r="J38" s="8"/>
      <c r="L38" s="21"/>
      <c r="M38" s="21"/>
      <c r="N38" s="8"/>
      <c r="P38" s="21"/>
      <c r="Q38" s="20"/>
    </row>
    <row r="39" spans="1:23">
      <c r="B39" s="16">
        <f>SUM('Full Data New'!B160:B166)</f>
        <v>8605.1999999999989</v>
      </c>
      <c r="C39" s="16">
        <f>SUM('Full Data New'!C160:C166)</f>
        <v>21554</v>
      </c>
      <c r="D39" s="16">
        <f>B39-C39</f>
        <v>-12948.800000000001</v>
      </c>
      <c r="E39" s="17">
        <f>+B39/C39</f>
        <v>0.39923912034889109</v>
      </c>
      <c r="G39" s="6" t="s">
        <v>45</v>
      </c>
      <c r="I39" s="16">
        <f>SUM('Full Data New'!D160:D166)</f>
        <v>63334.13</v>
      </c>
      <c r="J39" s="16">
        <f>SUM('Full Data New'!E160:E166)</f>
        <v>71635</v>
      </c>
      <c r="K39" s="16">
        <f>I39-J39</f>
        <v>-8300.8700000000026</v>
      </c>
      <c r="L39" s="17">
        <f>+I39/J39</f>
        <v>0.88412270538144755</v>
      </c>
      <c r="M39" s="17"/>
      <c r="N39" s="16">
        <v>210037</v>
      </c>
      <c r="O39" s="16">
        <f>I39-N39</f>
        <v>-146702.87</v>
      </c>
      <c r="P39" s="17">
        <f>+I39/N39</f>
        <v>0.30153796712007885</v>
      </c>
      <c r="Q39" s="45"/>
      <c r="S39" s="45"/>
      <c r="U39" s="45"/>
      <c r="W39" s="45"/>
    </row>
    <row r="40" spans="1:23">
      <c r="B40" s="16">
        <f>SUM('Full Data New'!B168:B172)</f>
        <v>4815.32</v>
      </c>
      <c r="C40" s="16">
        <f>SUM('Full Data New'!C168:C172)</f>
        <v>2205</v>
      </c>
      <c r="D40" s="16">
        <f>B40-C40</f>
        <v>2610.3199999999997</v>
      </c>
      <c r="E40" s="17">
        <f>+B40/C40</f>
        <v>2.1838185941043085</v>
      </c>
      <c r="G40" s="6" t="s">
        <v>46</v>
      </c>
      <c r="I40" s="16">
        <f>SUM('Full Data New'!D168:D172)</f>
        <v>12558.74</v>
      </c>
      <c r="J40" s="16">
        <f>SUM('Full Data New'!E168:E172)</f>
        <v>7730</v>
      </c>
      <c r="K40" s="16">
        <f>I40-J40</f>
        <v>4828.74</v>
      </c>
      <c r="L40" s="17">
        <f>+I40/J40</f>
        <v>1.6246752910737388</v>
      </c>
      <c r="M40" s="17"/>
      <c r="N40" s="16">
        <v>11200</v>
      </c>
      <c r="O40" s="16">
        <f>I40-N40</f>
        <v>1358.7399999999998</v>
      </c>
      <c r="P40" s="17">
        <f>+I40/N40</f>
        <v>1.1213160714285715</v>
      </c>
    </row>
    <row r="41" spans="1:23">
      <c r="B41" s="16">
        <f>SUM('Full Data New'!B174:B179)</f>
        <v>672.74</v>
      </c>
      <c r="C41" s="16">
        <f>SUM('Full Data New'!C174:C179)</f>
        <v>887.5</v>
      </c>
      <c r="D41" s="16">
        <f>B41-C41</f>
        <v>-214.76</v>
      </c>
      <c r="E41" s="17">
        <f>+B41/C41</f>
        <v>0.75801690140845068</v>
      </c>
      <c r="G41" s="6" t="s">
        <v>47</v>
      </c>
      <c r="I41" s="16">
        <f>SUM('Full Data New'!D174:D179)</f>
        <v>7347.7</v>
      </c>
      <c r="J41" s="16">
        <f>SUM('Full Data New'!E174:E179)</f>
        <v>3549</v>
      </c>
      <c r="K41" s="16">
        <f>I41-J41</f>
        <v>3798.7</v>
      </c>
      <c r="L41" s="17">
        <f>+I41/J41</f>
        <v>2.0703578472809241</v>
      </c>
      <c r="M41" s="17"/>
      <c r="N41" s="16">
        <v>10650</v>
      </c>
      <c r="O41" s="16">
        <f>I41-N41</f>
        <v>-3302.3</v>
      </c>
      <c r="P41" s="17">
        <f>+I41/N41</f>
        <v>0.68992488262910801</v>
      </c>
    </row>
    <row r="42" spans="1:23" s="3" customFormat="1">
      <c r="B42" s="26">
        <f>SUM(B39:B41)</f>
        <v>14093.259999999998</v>
      </c>
      <c r="C42" s="26">
        <f>SUM(C39:C41)</f>
        <v>24646.5</v>
      </c>
      <c r="D42" s="26">
        <f>SUM(D39:D41)</f>
        <v>-10553.240000000002</v>
      </c>
      <c r="E42" s="17">
        <f>+B42/C42</f>
        <v>0.57181587649361976</v>
      </c>
      <c r="G42" s="3" t="s">
        <v>48</v>
      </c>
      <c r="I42" s="26">
        <f>SUM(I39:I41)</f>
        <v>83240.569999999992</v>
      </c>
      <c r="J42" s="26">
        <f>SUM(J39:J41)</f>
        <v>82914</v>
      </c>
      <c r="K42" s="26">
        <f>SUM(K39:K41)</f>
        <v>326.56999999999698</v>
      </c>
      <c r="L42" s="17">
        <f>+I42/J42</f>
        <v>1.0039386593337674</v>
      </c>
      <c r="M42" s="17"/>
      <c r="N42" s="26">
        <f>SUM(N39:N41)</f>
        <v>231887</v>
      </c>
      <c r="O42" s="26">
        <f>SUM(O39:O41)</f>
        <v>-148646.43</v>
      </c>
      <c r="P42" s="17">
        <f>+I42/N42</f>
        <v>0.3589704036880032</v>
      </c>
      <c r="Q42" s="20"/>
    </row>
    <row r="43" spans="1:23">
      <c r="B43" s="8"/>
      <c r="C43" s="8"/>
      <c r="E43" s="17"/>
      <c r="I43" s="8"/>
      <c r="J43" s="8"/>
      <c r="L43" s="21"/>
      <c r="M43" s="21"/>
      <c r="N43" s="8"/>
      <c r="P43" s="21"/>
      <c r="Q43" s="20"/>
    </row>
    <row r="44" spans="1:23">
      <c r="B44" s="16">
        <f>SUM('Full Data New'!B181:B187)</f>
        <v>14043</v>
      </c>
      <c r="C44" s="16">
        <f>SUM('Full Data New'!C181:C187)</f>
        <v>13724</v>
      </c>
      <c r="D44" s="16">
        <f>B44-C44</f>
        <v>319</v>
      </c>
      <c r="E44" s="17">
        <f>+B44/C44</f>
        <v>1.0232439522005246</v>
      </c>
      <c r="G44" s="6" t="s">
        <v>49</v>
      </c>
      <c r="I44" s="16">
        <f>SUM('Full Data New'!D181:D187)</f>
        <v>49796.63</v>
      </c>
      <c r="J44" s="16">
        <f>SUM('Full Data New'!E181:E187)</f>
        <v>45445</v>
      </c>
      <c r="K44" s="16">
        <f>I44-J44</f>
        <v>4351.6299999999974</v>
      </c>
      <c r="L44" s="17">
        <f>+I44/J44</f>
        <v>1.0957559687534382</v>
      </c>
      <c r="M44" s="17"/>
      <c r="N44" s="16">
        <v>132015</v>
      </c>
      <c r="O44" s="16">
        <f>I44-N44</f>
        <v>-82218.37</v>
      </c>
      <c r="P44" s="17">
        <f>+I44/N44</f>
        <v>0.377204332840965</v>
      </c>
      <c r="Q44" s="20"/>
    </row>
    <row r="45" spans="1:23">
      <c r="B45" s="16">
        <f>SUM('Full Data New'!B189:B193)</f>
        <v>56162.909999999996</v>
      </c>
      <c r="C45" s="16">
        <f>SUM('Full Data New'!C189:C193)</f>
        <v>29798</v>
      </c>
      <c r="D45" s="16">
        <f>B45-C45</f>
        <v>26364.909999999996</v>
      </c>
      <c r="E45" s="17">
        <f>+B45/C45</f>
        <v>1.8847879052285388</v>
      </c>
      <c r="G45" s="6" t="s">
        <v>50</v>
      </c>
      <c r="I45" s="16">
        <f>SUM('Full Data New'!D189:D193)</f>
        <v>96618.33</v>
      </c>
      <c r="J45" s="16">
        <f>SUM('Full Data New'!E189:E193)</f>
        <v>73599</v>
      </c>
      <c r="K45" s="16">
        <f>I45-J45</f>
        <v>23019.33</v>
      </c>
      <c r="L45" s="17">
        <f>+I45/J45</f>
        <v>1.3127668854196388</v>
      </c>
      <c r="M45" s="17"/>
      <c r="N45" s="16">
        <v>123525</v>
      </c>
      <c r="O45" s="16">
        <f>I45-N45</f>
        <v>-26906.67</v>
      </c>
      <c r="P45" s="17">
        <f>+I45/N45</f>
        <v>0.782176320582878</v>
      </c>
      <c r="Q45" s="20"/>
    </row>
    <row r="46" spans="1:23">
      <c r="B46" s="16">
        <f>SUM('Full Data New'!B194:B196)</f>
        <v>216.16</v>
      </c>
      <c r="C46" s="16">
        <f>SUM('Full Data New'!C194:C196)</f>
        <v>125</v>
      </c>
      <c r="D46" s="16">
        <f>B46-C46</f>
        <v>91.16</v>
      </c>
      <c r="E46" s="17">
        <f>+B46/C46</f>
        <v>1.7292799999999999</v>
      </c>
      <c r="G46" s="6" t="s">
        <v>51</v>
      </c>
      <c r="I46" s="16">
        <f>SUM('Full Data New'!D194:D196)</f>
        <v>216.16</v>
      </c>
      <c r="J46" s="16">
        <f>SUM('Full Data New'!E194:E196)</f>
        <v>501</v>
      </c>
      <c r="K46" s="16">
        <f>I46-J46</f>
        <v>-284.84000000000003</v>
      </c>
      <c r="L46" s="17">
        <f>+I46/J46</f>
        <v>0.4314570858283433</v>
      </c>
      <c r="M46" s="17"/>
      <c r="N46" s="16">
        <v>4000</v>
      </c>
      <c r="O46" s="16">
        <f>I46-N46</f>
        <v>-3783.84</v>
      </c>
      <c r="P46" s="17">
        <f>+I46/N46</f>
        <v>5.4039999999999998E-2</v>
      </c>
      <c r="Q46" s="20"/>
    </row>
    <row r="47" spans="1:23" s="3" customFormat="1">
      <c r="B47" s="26">
        <f>SUM(B44:B46)</f>
        <v>70422.070000000007</v>
      </c>
      <c r="C47" s="26">
        <f>SUM(C44:C46)</f>
        <v>43647</v>
      </c>
      <c r="D47" s="26">
        <f>+B47-C47</f>
        <v>26775.070000000007</v>
      </c>
      <c r="E47" s="17">
        <f>+B47/C47</f>
        <v>1.6134458267463974</v>
      </c>
      <c r="G47" s="3" t="s">
        <v>4</v>
      </c>
      <c r="I47" s="26">
        <f>SUM(I44:I46)</f>
        <v>146631.12</v>
      </c>
      <c r="J47" s="26">
        <f>SUM(J44:J46)</f>
        <v>119545</v>
      </c>
      <c r="K47" s="26">
        <f>SUM(K44:K46)</f>
        <v>27086.12</v>
      </c>
      <c r="L47" s="17">
        <f>+I47/J47</f>
        <v>1.2265767702538792</v>
      </c>
      <c r="M47" s="17"/>
      <c r="N47" s="26">
        <f>SUM(N44:N46)</f>
        <v>259540</v>
      </c>
      <c r="O47" s="26">
        <f>SUM(O44:O46)</f>
        <v>-112908.87999999999</v>
      </c>
      <c r="P47" s="17">
        <f>+I47/N47</f>
        <v>0.5649654003236495</v>
      </c>
      <c r="Q47" s="20"/>
    </row>
    <row r="48" spans="1:23">
      <c r="B48" s="8"/>
      <c r="C48" s="8"/>
      <c r="E48" s="17"/>
      <c r="I48" s="8"/>
      <c r="J48" s="8"/>
      <c r="L48" s="21"/>
      <c r="M48" s="21"/>
      <c r="N48" s="8"/>
      <c r="P48" s="21"/>
      <c r="Q48" s="20"/>
    </row>
    <row r="49" spans="1:17" s="3" customFormat="1">
      <c r="B49" s="26">
        <f>+'Full Data New'!B197</f>
        <v>4360.3100000000004</v>
      </c>
      <c r="C49" s="26">
        <f>+'Full Data New'!C197</f>
        <v>18703</v>
      </c>
      <c r="D49" s="26">
        <f>+B49-C49</f>
        <v>-14342.689999999999</v>
      </c>
      <c r="E49" s="17">
        <f>+B49/C49</f>
        <v>0.23313425653638456</v>
      </c>
      <c r="G49" s="3" t="s">
        <v>52</v>
      </c>
      <c r="I49" s="26">
        <f>+'Full Data New'!D197</f>
        <v>16101.34</v>
      </c>
      <c r="J49" s="26">
        <f>+'Full Data New'!E197</f>
        <v>60070</v>
      </c>
      <c r="K49" s="26">
        <f>I49-J49</f>
        <v>-43968.66</v>
      </c>
      <c r="L49" s="17">
        <f>+I49/J49</f>
        <v>0.26804294989179289</v>
      </c>
      <c r="M49" s="17"/>
      <c r="N49" s="26">
        <v>175289</v>
      </c>
      <c r="O49" s="26">
        <f>I49-N49</f>
        <v>-159187.66</v>
      </c>
      <c r="P49" s="17">
        <f>+I49/N49</f>
        <v>9.1855963580144792E-2</v>
      </c>
      <c r="Q49" s="20"/>
    </row>
    <row r="50" spans="1:17">
      <c r="B50" s="8"/>
      <c r="C50" s="8"/>
      <c r="E50" s="17"/>
      <c r="I50" s="8"/>
      <c r="J50" s="8"/>
      <c r="L50" s="21"/>
      <c r="M50" s="21"/>
      <c r="N50" s="8"/>
      <c r="P50" s="21"/>
      <c r="Q50" s="20"/>
    </row>
    <row r="51" spans="1:17" s="3" customFormat="1">
      <c r="B51" s="26">
        <f>+'Full Data New'!B207</f>
        <v>4786.8999999999996</v>
      </c>
      <c r="C51" s="26">
        <f>+'Full Data New'!C207</f>
        <v>3769</v>
      </c>
      <c r="D51" s="26">
        <f>+B51-C51</f>
        <v>1017.8999999999996</v>
      </c>
      <c r="E51" s="17">
        <f>+B51/C51</f>
        <v>1.2700716370390024</v>
      </c>
      <c r="G51" s="3" t="s">
        <v>3</v>
      </c>
      <c r="I51" s="26">
        <f>+'Full Data New'!D207</f>
        <v>14553.6</v>
      </c>
      <c r="J51" s="26">
        <f>+'Full Data New'!E207</f>
        <v>11305</v>
      </c>
      <c r="K51" s="26">
        <f>I51-J51</f>
        <v>3248.6000000000004</v>
      </c>
      <c r="L51" s="17">
        <f>+I51/J51</f>
        <v>1.2873595754091109</v>
      </c>
      <c r="M51" s="17"/>
      <c r="N51" s="26">
        <v>32710</v>
      </c>
      <c r="O51" s="26">
        <f>I51-N51</f>
        <v>-18156.400000000001</v>
      </c>
      <c r="P51" s="17">
        <f>+I51/N51</f>
        <v>0.44492815652705597</v>
      </c>
      <c r="Q51" s="20"/>
    </row>
    <row r="52" spans="1:17">
      <c r="B52" s="8"/>
      <c r="C52" s="8"/>
      <c r="E52" s="17"/>
      <c r="I52" s="8"/>
      <c r="J52" s="8"/>
      <c r="L52" s="21"/>
      <c r="M52" s="21"/>
      <c r="N52" s="8"/>
      <c r="P52" s="21"/>
      <c r="Q52" s="20"/>
    </row>
    <row r="53" spans="1:17">
      <c r="B53" s="16">
        <f>SUM('Full Data New'!B214:B217)</f>
        <v>3551.31</v>
      </c>
      <c r="C53" s="16">
        <f>SUM('Full Data New'!C214:C217)</f>
        <v>3516.75</v>
      </c>
      <c r="D53" s="16">
        <f>B53-C53</f>
        <v>34.559999999999945</v>
      </c>
      <c r="E53" s="17">
        <f>+B53/C53</f>
        <v>1.009827255278311</v>
      </c>
      <c r="G53" s="6" t="s">
        <v>53</v>
      </c>
      <c r="I53" s="16">
        <f>SUM('Full Data New'!D214:D217)</f>
        <v>10733.22</v>
      </c>
      <c r="J53" s="16">
        <f>SUM('Full Data New'!E214:E217)</f>
        <v>10716</v>
      </c>
      <c r="K53" s="16">
        <f>I53-J53</f>
        <v>17.219999999999345</v>
      </c>
      <c r="L53" s="17">
        <f>+I53/J53</f>
        <v>1.0016069428891377</v>
      </c>
      <c r="M53" s="17"/>
      <c r="N53" s="16">
        <v>31032</v>
      </c>
      <c r="O53" s="16">
        <f>I53-N53</f>
        <v>-20298.78</v>
      </c>
      <c r="P53" s="17">
        <f>+I53/N53</f>
        <v>0.34587587006960557</v>
      </c>
      <c r="Q53" s="20"/>
    </row>
    <row r="54" spans="1:17">
      <c r="B54" s="16">
        <f>SUM('Full Data New'!B219:B225)</f>
        <v>237418.91999999998</v>
      </c>
      <c r="C54" s="16">
        <f>SUM('Full Data New'!C219:C225)</f>
        <v>163220</v>
      </c>
      <c r="D54" s="16">
        <f>B54-C54</f>
        <v>74198.919999999984</v>
      </c>
      <c r="E54" s="17">
        <f>+B54/C54</f>
        <v>1.4545945349834577</v>
      </c>
      <c r="G54" s="6" t="s">
        <v>54</v>
      </c>
      <c r="I54" s="16">
        <f>SUM('Full Data New'!D219:D225)</f>
        <v>374463.32</v>
      </c>
      <c r="J54" s="16">
        <f>SUM('Full Data New'!E219:E225)</f>
        <v>362868</v>
      </c>
      <c r="K54" s="16">
        <f>I54-J54</f>
        <v>11595.320000000007</v>
      </c>
      <c r="L54" s="17">
        <f>+I54/J54</f>
        <v>1.0319546501758214</v>
      </c>
      <c r="M54" s="17"/>
      <c r="N54" s="16">
        <v>544578</v>
      </c>
      <c r="O54" s="16">
        <f>I54-N54</f>
        <v>-170114.68</v>
      </c>
      <c r="P54" s="17">
        <f>+I54/N54</f>
        <v>0.68762109376434599</v>
      </c>
      <c r="Q54" s="20"/>
    </row>
    <row r="55" spans="1:17">
      <c r="B55" s="16">
        <f>SUM('Full Data New'!B227:B236)</f>
        <v>11398.95</v>
      </c>
      <c r="C55" s="16">
        <f>SUM('Full Data New'!C227:C236)</f>
        <v>1817</v>
      </c>
      <c r="D55" s="16">
        <f>B55-C55</f>
        <v>9581.9500000000007</v>
      </c>
      <c r="E55" s="17">
        <f>+B55/C55</f>
        <v>6.2735002751788667</v>
      </c>
      <c r="G55" s="6" t="s">
        <v>55</v>
      </c>
      <c r="I55" s="16">
        <f>SUM('Full Data New'!D227:D236)+'Full Data New'!D238</f>
        <v>23721.98</v>
      </c>
      <c r="J55" s="16">
        <f>SUM('Full Data New'!E227:E236)</f>
        <v>20767</v>
      </c>
      <c r="K55" s="16">
        <f>I55-J55</f>
        <v>2954.9799999999996</v>
      </c>
      <c r="L55" s="17">
        <f>+I55/J55</f>
        <v>1.1422920980401599</v>
      </c>
      <c r="M55" s="17"/>
      <c r="N55" s="16">
        <v>33300</v>
      </c>
      <c r="O55" s="16">
        <f>I55-N55</f>
        <v>-9578.02</v>
      </c>
      <c r="P55" s="17">
        <f>+I55/N55</f>
        <v>0.7123717717717718</v>
      </c>
      <c r="Q55" s="20"/>
    </row>
    <row r="56" spans="1:17" s="3" customFormat="1">
      <c r="B56" s="26">
        <f>B55+B54+B53</f>
        <v>252369.18</v>
      </c>
      <c r="C56" s="26">
        <f>C55+C54+C53</f>
        <v>168553.75</v>
      </c>
      <c r="D56" s="26">
        <f>+B56-C56</f>
        <v>83815.429999999993</v>
      </c>
      <c r="E56" s="17">
        <f>+B56/C56</f>
        <v>1.4972623272991552</v>
      </c>
      <c r="G56" s="3" t="s">
        <v>56</v>
      </c>
      <c r="I56" s="26">
        <f>SUM(I53:I55)</f>
        <v>408918.51999999996</v>
      </c>
      <c r="J56" s="26">
        <f>SUM(J53:J55)</f>
        <v>394351</v>
      </c>
      <c r="K56" s="26">
        <f>K55+K54+K53</f>
        <v>14567.520000000006</v>
      </c>
      <c r="L56" s="17">
        <f>+I56/J56</f>
        <v>1.0369404920996776</v>
      </c>
      <c r="M56" s="17"/>
      <c r="N56" s="26">
        <f>N55+N54+N53</f>
        <v>608910</v>
      </c>
      <c r="O56" s="26">
        <f>O55+O54+O53</f>
        <v>-199991.47999999998</v>
      </c>
      <c r="P56" s="17">
        <f>+I56/N56</f>
        <v>0.67155822699577927</v>
      </c>
      <c r="Q56" s="20"/>
    </row>
    <row r="57" spans="1:17" s="22" customFormat="1" ht="14.25">
      <c r="A57" s="6"/>
      <c r="B57" s="8"/>
      <c r="C57" s="8"/>
      <c r="D57" s="8"/>
      <c r="E57" s="17"/>
      <c r="F57" s="6"/>
      <c r="G57" s="6"/>
      <c r="H57" s="6"/>
      <c r="I57" s="8"/>
      <c r="J57" s="8"/>
      <c r="K57" s="8"/>
      <c r="L57" s="21"/>
      <c r="Q57" s="20"/>
    </row>
    <row r="58" spans="1:17">
      <c r="B58" s="18">
        <f>+B56+B51+B49+B47+B42+B37+B31+B26</f>
        <v>793019.01</v>
      </c>
      <c r="C58" s="18">
        <f>+C56+C51+C49+C47+C42+C37+C31+C26</f>
        <v>807528.25</v>
      </c>
      <c r="D58" s="18">
        <f>B58-C58</f>
        <v>-14509.239999999991</v>
      </c>
      <c r="E58" s="17"/>
      <c r="F58" s="3"/>
      <c r="G58" s="19" t="s">
        <v>57</v>
      </c>
      <c r="H58" s="3"/>
      <c r="I58" s="18">
        <f>+I56+I51+I49+I47+I42+I37+I31+I26</f>
        <v>2554146.59</v>
      </c>
      <c r="J58" s="18">
        <f>+J56+J51+J49+J47+J42+J37+J31+J26</f>
        <v>2385721</v>
      </c>
      <c r="K58" s="18">
        <f>I58-J58</f>
        <v>168425.58999999985</v>
      </c>
      <c r="L58" s="17">
        <f>+I58/J58-1</f>
        <v>7.0597354007446711E-2</v>
      </c>
      <c r="M58" s="27"/>
      <c r="N58" s="18">
        <f>+N56+N51+N49+N47+N42+N37+N31+N26</f>
        <v>6163344</v>
      </c>
      <c r="O58" s="18">
        <f>I58-N58</f>
        <v>-3609197.41</v>
      </c>
      <c r="P58" s="17"/>
      <c r="Q58" s="20"/>
    </row>
    <row r="59" spans="1:17" s="22" customFormat="1" ht="14.25">
      <c r="A59" s="6"/>
      <c r="B59" s="8"/>
      <c r="C59" s="8"/>
      <c r="D59" s="8"/>
      <c r="E59" s="17"/>
      <c r="F59" s="6"/>
      <c r="G59" s="6"/>
      <c r="H59" s="6"/>
      <c r="I59" s="8"/>
      <c r="J59" s="8"/>
      <c r="K59" s="8"/>
      <c r="L59" s="21"/>
      <c r="Q59" s="20"/>
    </row>
    <row r="60" spans="1:17">
      <c r="B60" s="18">
        <f>+B21-B58</f>
        <v>478736.21489999979</v>
      </c>
      <c r="C60" s="18">
        <f>+C21-C58</f>
        <v>35681.75</v>
      </c>
      <c r="D60" s="18">
        <f>B60-C60</f>
        <v>443054.46489999979</v>
      </c>
      <c r="E60" s="17"/>
      <c r="F60" s="3"/>
      <c r="G60" s="19" t="s">
        <v>58</v>
      </c>
      <c r="H60" s="3"/>
      <c r="I60" s="18">
        <f>+I21-I58</f>
        <v>879970.89630000014</v>
      </c>
      <c r="J60" s="18">
        <f>+J21-J58</f>
        <v>685825</v>
      </c>
      <c r="K60" s="18">
        <f>+K21-K58</f>
        <v>194145.89630000008</v>
      </c>
      <c r="L60" s="17"/>
      <c r="M60" s="28"/>
      <c r="N60" s="18">
        <f>+N21-N58</f>
        <v>31722</v>
      </c>
      <c r="O60" s="18">
        <f>I60-N60</f>
        <v>848248.89630000014</v>
      </c>
      <c r="P60" s="17"/>
      <c r="Q60" s="20"/>
    </row>
    <row r="62" spans="1:17" s="29" customFormat="1" ht="14.25" hidden="1">
      <c r="A62" s="22"/>
      <c r="D62" s="30" t="s">
        <v>59</v>
      </c>
      <c r="F62" s="95" t="s">
        <v>60</v>
      </c>
      <c r="G62" s="95"/>
      <c r="H62" s="95"/>
      <c r="I62" s="95"/>
      <c r="J62" s="95"/>
      <c r="K62" s="95"/>
      <c r="L62" s="95"/>
      <c r="M62" s="95"/>
      <c r="N62" s="95"/>
    </row>
    <row r="63" spans="1:17" s="29" customFormat="1" ht="11.25" hidden="1">
      <c r="C63" s="30"/>
      <c r="G63" s="31" t="s">
        <v>61</v>
      </c>
      <c r="I63" s="32">
        <f>-I6*0.03</f>
        <v>-14301.128699999999</v>
      </c>
      <c r="J63" s="32">
        <f>-J6*0.03</f>
        <v>-8670</v>
      </c>
      <c r="L63" s="29" t="s">
        <v>61</v>
      </c>
      <c r="N63" s="32">
        <v>-23100</v>
      </c>
    </row>
    <row r="64" spans="1:17" s="29" customFormat="1" ht="11.25" hidden="1">
      <c r="B64" s="30"/>
      <c r="C64" s="30"/>
      <c r="D64" s="30"/>
      <c r="G64" s="31" t="s">
        <v>62</v>
      </c>
      <c r="I64" s="32">
        <f>-0.2*I11</f>
        <v>-49746.065999999999</v>
      </c>
      <c r="J64" s="32">
        <f>-0.2*J11</f>
        <v>-28245</v>
      </c>
      <c r="L64" s="29" t="s">
        <v>62</v>
      </c>
      <c r="N64" s="32">
        <v>-38500</v>
      </c>
    </row>
    <row r="65" spans="1:15" s="29" customFormat="1" ht="11.25" hidden="1">
      <c r="B65" s="30"/>
      <c r="C65" s="30"/>
      <c r="D65" s="30"/>
      <c r="G65" s="31" t="s">
        <v>63</v>
      </c>
      <c r="I65" s="32">
        <f>995729*-0.05</f>
        <v>-49786.450000000004</v>
      </c>
      <c r="J65" s="32">
        <f>-0.05*(755000)</f>
        <v>-37750</v>
      </c>
      <c r="L65" s="29" t="s">
        <v>63</v>
      </c>
      <c r="N65" s="32">
        <v>-37750</v>
      </c>
    </row>
    <row r="66" spans="1:15" s="29" customFormat="1" ht="11.25" hidden="1">
      <c r="B66" s="30"/>
      <c r="C66" s="30"/>
      <c r="D66" s="30"/>
      <c r="F66" s="33" t="s">
        <v>64</v>
      </c>
      <c r="G66" s="34"/>
      <c r="H66" s="33"/>
      <c r="I66" s="35">
        <f>-SUM(I63:I65)</f>
        <v>113833.6447</v>
      </c>
      <c r="J66" s="35">
        <f>-SUM(J63:J65)</f>
        <v>74665</v>
      </c>
      <c r="K66" s="33"/>
      <c r="L66" s="33"/>
      <c r="M66" s="33"/>
      <c r="N66" s="35">
        <v>99350</v>
      </c>
    </row>
    <row r="67" spans="1:15" s="29" customFormat="1" ht="11.25" hidden="1">
      <c r="B67" s="30"/>
      <c r="C67" s="30"/>
      <c r="D67" s="30"/>
      <c r="G67" s="31"/>
      <c r="I67" s="32"/>
      <c r="J67" s="32"/>
    </row>
    <row r="68" spans="1:15" s="22" customFormat="1" ht="14.25" hidden="1">
      <c r="A68" s="29"/>
      <c r="B68" s="29"/>
      <c r="C68" s="29"/>
      <c r="D68" s="30"/>
      <c r="E68" s="29"/>
      <c r="F68" s="95" t="s">
        <v>65</v>
      </c>
      <c r="G68" s="95"/>
      <c r="H68" s="95"/>
      <c r="I68" s="95"/>
      <c r="J68" s="95"/>
      <c r="K68" s="95"/>
      <c r="L68" s="95"/>
      <c r="M68" s="95"/>
      <c r="N68" s="95"/>
    </row>
    <row r="69" spans="1:15" s="22" customFormat="1" ht="14.25" hidden="1">
      <c r="A69" s="29"/>
      <c r="B69" s="29"/>
      <c r="C69" s="29"/>
      <c r="D69" s="36"/>
      <c r="E69" s="29"/>
      <c r="F69" s="29"/>
      <c r="G69" s="37" t="s">
        <v>66</v>
      </c>
      <c r="H69" s="29"/>
      <c r="I69" s="32">
        <f>-I8*0.5</f>
        <v>-72856.23</v>
      </c>
      <c r="J69" s="32">
        <f>-J8*0.5</f>
        <v>-64825</v>
      </c>
      <c r="K69" s="29"/>
      <c r="L69" s="38" t="s">
        <v>66</v>
      </c>
      <c r="N69" s="32">
        <v>-50000</v>
      </c>
    </row>
    <row r="70" spans="1:15" s="29" customFormat="1" ht="11.25" hidden="1">
      <c r="F70" s="33" t="s">
        <v>67</v>
      </c>
      <c r="G70" s="33"/>
      <c r="H70" s="33"/>
      <c r="I70" s="39">
        <f>-I69</f>
        <v>72856.23</v>
      </c>
      <c r="J70" s="39">
        <f>-J69</f>
        <v>64825</v>
      </c>
      <c r="K70" s="33"/>
      <c r="L70" s="33"/>
      <c r="M70" s="33"/>
      <c r="N70" s="39">
        <v>50000</v>
      </c>
    </row>
    <row r="71" spans="1:15" s="29" customFormat="1" ht="11.25" hidden="1">
      <c r="D71" s="30"/>
      <c r="G71" s="31"/>
      <c r="L71" s="40"/>
    </row>
    <row r="72" spans="1:15" s="29" customFormat="1" ht="14.25" hidden="1">
      <c r="D72" s="30"/>
      <c r="G72" s="22"/>
      <c r="K72" s="32"/>
      <c r="N72" s="22"/>
    </row>
    <row r="73" spans="1:15" s="29" customFormat="1" hidden="1">
      <c r="D73" s="30"/>
      <c r="G73" s="19" t="s">
        <v>68</v>
      </c>
      <c r="I73" s="18">
        <f>+I60-I66-I70</f>
        <v>693281.02160000009</v>
      </c>
      <c r="J73" s="18">
        <f>+J60-J66-J70</f>
        <v>546335</v>
      </c>
      <c r="K73" s="32"/>
      <c r="N73" s="18">
        <v>-114634</v>
      </c>
    </row>
    <row r="74" spans="1:15" s="29" customFormat="1" ht="14.25" hidden="1">
      <c r="A74" s="22"/>
      <c r="B74" s="22"/>
      <c r="C74" s="22"/>
      <c r="D74" s="41"/>
      <c r="E74" s="22"/>
      <c r="F74" s="22"/>
      <c r="G74" s="22"/>
      <c r="H74" s="22"/>
      <c r="I74" s="22"/>
      <c r="J74" s="22"/>
      <c r="K74" s="32"/>
    </row>
    <row r="75" spans="1:15" ht="14.25">
      <c r="A75" s="22"/>
      <c r="B75" s="42"/>
      <c r="C75" s="22"/>
      <c r="D75" s="41"/>
      <c r="E75" s="22"/>
      <c r="F75" s="22"/>
      <c r="H75" s="22"/>
      <c r="I75" s="42"/>
      <c r="J75" s="22"/>
      <c r="N75" s="43"/>
    </row>
    <row r="76" spans="1:15">
      <c r="B76" s="20"/>
      <c r="C76" s="20"/>
      <c r="I76" s="20"/>
      <c r="J76" s="20"/>
      <c r="N76" s="20"/>
    </row>
    <row r="77" spans="1:15">
      <c r="D77" s="6"/>
      <c r="K77" s="6"/>
      <c r="O77" s="45"/>
    </row>
    <row r="78" spans="1:15">
      <c r="D78" s="6"/>
      <c r="K78" s="6"/>
      <c r="O78" s="45"/>
    </row>
    <row r="79" spans="1:15">
      <c r="D79" s="6"/>
      <c r="K79" s="6"/>
      <c r="O79" s="45"/>
    </row>
    <row r="80" spans="1:15">
      <c r="B80" s="8"/>
      <c r="C80" s="8"/>
      <c r="D80" s="6"/>
      <c r="K80" s="6"/>
      <c r="N80" s="8"/>
      <c r="O80" s="45"/>
    </row>
    <row r="81" spans="2:15">
      <c r="B81" s="8">
        <f>SUM(B77:B80)</f>
        <v>0</v>
      </c>
      <c r="C81" s="8">
        <f>SUM(C77:C80)</f>
        <v>0</v>
      </c>
      <c r="D81" s="6"/>
      <c r="K81" s="6"/>
      <c r="N81" s="8">
        <f>SUM(N77:N80)</f>
        <v>0</v>
      </c>
      <c r="O81" s="45"/>
    </row>
  </sheetData>
  <mergeCells count="6">
    <mergeCell ref="F68:N68"/>
    <mergeCell ref="B1:G1"/>
    <mergeCell ref="I1:P1"/>
    <mergeCell ref="B3:E3"/>
    <mergeCell ref="I3:P3"/>
    <mergeCell ref="F62:N62"/>
  </mergeCells>
  <printOptions horizontalCentered="1"/>
  <pageMargins left="0" right="0" top="0" bottom="0" header="0.05" footer="0.05"/>
  <pageSetup paperSize="3" scale="59" orientation="landscape" r:id="rId1"/>
  <headerFooter>
    <oddHeader>&amp;L&amp;8&amp;D
&amp;T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C9DD0-5E03-463A-97E1-7B9E69EA6F45}">
  <dimension ref="A2:L246"/>
  <sheetViews>
    <sheetView topLeftCell="A3" workbookViewId="0">
      <selection activeCell="G14" sqref="G14"/>
    </sheetView>
  </sheetViews>
  <sheetFormatPr defaultColWidth="9.140625" defaultRowHeight="15"/>
  <cols>
    <col min="1" max="1" width="51.140625" style="73" bestFit="1" customWidth="1"/>
    <col min="2" max="8" width="18.7109375" style="73" customWidth="1"/>
    <col min="9" max="9" width="9.140625" style="73"/>
    <col min="10" max="10" width="10.5703125" style="73" bestFit="1" customWidth="1"/>
    <col min="11" max="11" width="13.7109375" style="73" bestFit="1" customWidth="1"/>
    <col min="12" max="12" width="13.28515625" style="73" bestFit="1" customWidth="1"/>
    <col min="13" max="16384" width="9.140625" style="73"/>
  </cols>
  <sheetData>
    <row r="2" spans="1:9" s="70" customFormat="1" ht="63">
      <c r="A2" s="68"/>
      <c r="B2" s="69" t="s">
        <v>422</v>
      </c>
      <c r="C2" s="69" t="s">
        <v>423</v>
      </c>
      <c r="D2" s="69" t="s">
        <v>424</v>
      </c>
      <c r="E2" s="69" t="s">
        <v>425</v>
      </c>
      <c r="F2" s="69" t="s">
        <v>426</v>
      </c>
      <c r="G2" s="69" t="s">
        <v>427</v>
      </c>
      <c r="H2" s="69" t="s">
        <v>428</v>
      </c>
    </row>
    <row r="3" spans="1:9" ht="30" customHeight="1">
      <c r="A3" s="71" t="s">
        <v>429</v>
      </c>
      <c r="B3" s="72"/>
      <c r="C3" s="72"/>
      <c r="D3" s="72"/>
      <c r="E3" s="72"/>
      <c r="F3" s="72"/>
      <c r="G3" s="72"/>
      <c r="H3" s="72"/>
    </row>
    <row r="4" spans="1:9" ht="30" customHeight="1">
      <c r="A4" s="74" t="s">
        <v>430</v>
      </c>
      <c r="B4" s="75">
        <v>167797.57</v>
      </c>
      <c r="C4" s="75">
        <v>68000</v>
      </c>
      <c r="D4" s="75">
        <v>476704.29</v>
      </c>
      <c r="E4" s="75">
        <v>289000</v>
      </c>
      <c r="F4" s="76">
        <v>1.6494</v>
      </c>
      <c r="G4" s="75">
        <v>850000</v>
      </c>
      <c r="H4" s="76">
        <v>0.56079999999999997</v>
      </c>
    </row>
    <row r="5" spans="1:9" ht="30" customHeight="1">
      <c r="A5" s="71" t="s">
        <v>431</v>
      </c>
      <c r="B5" s="77">
        <v>167797.57</v>
      </c>
      <c r="C5" s="77">
        <v>68000</v>
      </c>
      <c r="D5" s="77">
        <v>476704.29</v>
      </c>
      <c r="E5" s="77">
        <v>289000</v>
      </c>
      <c r="F5" s="78">
        <v>1.6494</v>
      </c>
      <c r="G5" s="77">
        <v>850000</v>
      </c>
      <c r="H5" s="78">
        <v>0.56079999999999997</v>
      </c>
    </row>
    <row r="6" spans="1:9" ht="30" customHeight="1">
      <c r="A6" s="74" t="s">
        <v>432</v>
      </c>
      <c r="B6" s="75">
        <v>689.26</v>
      </c>
      <c r="C6" s="75">
        <v>2700</v>
      </c>
      <c r="D6" s="75">
        <v>74056.37</v>
      </c>
      <c r="E6" s="75">
        <v>73400</v>
      </c>
      <c r="F6" s="76">
        <v>1.0088999999999999</v>
      </c>
      <c r="G6" s="75">
        <v>825000</v>
      </c>
      <c r="H6" s="76">
        <v>8.9700000000000002E-2</v>
      </c>
    </row>
    <row r="7" spans="1:9" ht="30" customHeight="1">
      <c r="A7" s="71" t="s">
        <v>433</v>
      </c>
      <c r="B7" s="77">
        <v>689.26</v>
      </c>
      <c r="C7" s="77">
        <v>2700</v>
      </c>
      <c r="D7" s="77">
        <v>74056.37</v>
      </c>
      <c r="E7" s="77">
        <v>73400</v>
      </c>
      <c r="F7" s="78">
        <v>1.0088999999999999</v>
      </c>
      <c r="G7" s="77">
        <v>825000</v>
      </c>
      <c r="H7" s="78">
        <v>8.9700000000000002E-2</v>
      </c>
    </row>
    <row r="8" spans="1:9" ht="30" customHeight="1">
      <c r="A8" s="74" t="s">
        <v>434</v>
      </c>
      <c r="B8" s="75">
        <v>86258.19</v>
      </c>
      <c r="C8" s="75">
        <v>75075</v>
      </c>
      <c r="D8" s="75">
        <v>145712.46</v>
      </c>
      <c r="E8" s="75">
        <v>129650</v>
      </c>
      <c r="F8" s="76">
        <v>1.1237999999999999</v>
      </c>
      <c r="G8" s="75">
        <v>475000</v>
      </c>
      <c r="H8" s="76">
        <v>0.30669999999999997</v>
      </c>
    </row>
    <row r="9" spans="1:9" ht="30" customHeight="1">
      <c r="A9" s="71" t="s">
        <v>435</v>
      </c>
      <c r="B9" s="77">
        <v>86258.19</v>
      </c>
      <c r="C9" s="77">
        <v>75075</v>
      </c>
      <c r="D9" s="77">
        <v>145712.46</v>
      </c>
      <c r="E9" s="77">
        <v>129650</v>
      </c>
      <c r="F9" s="78">
        <v>1.1237999999999999</v>
      </c>
      <c r="G9" s="77">
        <v>475000</v>
      </c>
      <c r="H9" s="78">
        <v>0.30669999999999997</v>
      </c>
    </row>
    <row r="10" spans="1:9" ht="30" customHeight="1">
      <c r="A10" s="74" t="s">
        <v>436</v>
      </c>
      <c r="B10" s="75">
        <v>20006</v>
      </c>
      <c r="C10" s="75">
        <v>11530</v>
      </c>
      <c r="D10" s="75">
        <v>591227.69999999995</v>
      </c>
      <c r="E10" s="75">
        <v>564870</v>
      </c>
      <c r="F10" s="76">
        <v>1.0466</v>
      </c>
      <c r="G10" s="75">
        <v>629826</v>
      </c>
      <c r="H10" s="76">
        <v>0.93869999999999998</v>
      </c>
    </row>
    <row r="11" spans="1:9" ht="30" customHeight="1">
      <c r="A11" s="71" t="s">
        <v>437</v>
      </c>
      <c r="B11" s="77">
        <v>0</v>
      </c>
      <c r="C11" s="77">
        <v>0</v>
      </c>
      <c r="D11" s="77">
        <v>600</v>
      </c>
      <c r="E11" s="77">
        <v>0</v>
      </c>
      <c r="F11" s="78">
        <v>6</v>
      </c>
      <c r="G11" s="77">
        <v>0</v>
      </c>
      <c r="H11" s="78">
        <v>6</v>
      </c>
    </row>
    <row r="12" spans="1:9" ht="30" customHeight="1">
      <c r="A12" s="71" t="s">
        <v>438</v>
      </c>
      <c r="B12" s="79">
        <v>5013</v>
      </c>
      <c r="C12" s="79">
        <v>2500</v>
      </c>
      <c r="D12" s="79">
        <v>175687</v>
      </c>
      <c r="E12" s="79">
        <v>165750</v>
      </c>
      <c r="F12" s="80">
        <v>1.0599000000000001</v>
      </c>
      <c r="G12" s="79">
        <v>178446</v>
      </c>
      <c r="H12" s="80">
        <v>0.98450000000000004</v>
      </c>
    </row>
    <row r="13" spans="1:9" ht="30" customHeight="1">
      <c r="A13" s="71" t="s">
        <v>439</v>
      </c>
      <c r="B13" s="77">
        <v>14993</v>
      </c>
      <c r="C13" s="77">
        <v>9030</v>
      </c>
      <c r="D13" s="77">
        <v>414940.7</v>
      </c>
      <c r="E13" s="77">
        <v>399120</v>
      </c>
      <c r="F13" s="78">
        <v>1.0396000000000001</v>
      </c>
      <c r="G13" s="77">
        <v>451380</v>
      </c>
      <c r="H13" s="78">
        <v>0.91920000000000002</v>
      </c>
    </row>
    <row r="14" spans="1:9" ht="30" customHeight="1">
      <c r="A14" s="74" t="s">
        <v>440</v>
      </c>
      <c r="B14" s="75">
        <f>SUM(B15:B17)</f>
        <v>769170.65</v>
      </c>
      <c r="C14" s="75">
        <v>524010</v>
      </c>
      <c r="D14" s="75">
        <f>SUM(D15:D17)</f>
        <v>1427641.81</v>
      </c>
      <c r="E14" s="75">
        <v>1471386</v>
      </c>
      <c r="F14" s="76">
        <v>0.69879999999999998</v>
      </c>
      <c r="G14" s="75">
        <v>2087740</v>
      </c>
      <c r="H14" s="76">
        <v>0.49249999999999999</v>
      </c>
    </row>
    <row r="15" spans="1:9" ht="30" customHeight="1">
      <c r="A15" s="71" t="s">
        <v>441</v>
      </c>
      <c r="B15" s="77">
        <v>18800</v>
      </c>
      <c r="C15" s="77">
        <v>14400</v>
      </c>
      <c r="D15" s="77">
        <v>491457.05</v>
      </c>
      <c r="E15" s="77">
        <v>480000</v>
      </c>
      <c r="F15" s="78">
        <f>+D15/E15</f>
        <v>1.0238688541666667</v>
      </c>
      <c r="G15" s="77">
        <v>480000</v>
      </c>
      <c r="H15" s="78">
        <f>+D15/G15</f>
        <v>1.0238688541666667</v>
      </c>
    </row>
    <row r="16" spans="1:9" ht="30" customHeight="1">
      <c r="A16" s="71" t="s">
        <v>442</v>
      </c>
      <c r="B16" s="79">
        <f>65130.67+66917.18</f>
        <v>132047.84999999998</v>
      </c>
      <c r="C16" s="79">
        <v>113000</v>
      </c>
      <c r="D16" s="79">
        <f>118810.62+66917.18</f>
        <v>185727.8</v>
      </c>
      <c r="E16" s="79">
        <v>198000</v>
      </c>
      <c r="F16" s="99">
        <f>+D16/E16</f>
        <v>0.93801919191919181</v>
      </c>
      <c r="G16" s="79">
        <v>322740</v>
      </c>
      <c r="H16" s="99">
        <f>+D16/G16</f>
        <v>0.57547189688293976</v>
      </c>
      <c r="I16" s="100"/>
    </row>
    <row r="17" spans="1:8" ht="30" customHeight="1">
      <c r="A17" s="71" t="s">
        <v>443</v>
      </c>
      <c r="B17" s="77">
        <f>285844.98+332477.82</f>
        <v>618322.80000000005</v>
      </c>
      <c r="C17" s="77">
        <v>396610</v>
      </c>
      <c r="D17" s="77">
        <f>417979.14+332477.82</f>
        <v>750456.96</v>
      </c>
      <c r="E17" s="77">
        <v>793386</v>
      </c>
      <c r="F17" s="78">
        <f>+D17/E17</f>
        <v>0.94589135679228009</v>
      </c>
      <c r="G17" s="77">
        <v>1285000</v>
      </c>
      <c r="H17" s="78">
        <f>+D17/G17</f>
        <v>0.58401319844357968</v>
      </c>
    </row>
    <row r="18" spans="1:8" ht="30" customHeight="1">
      <c r="A18" s="74" t="s">
        <v>444</v>
      </c>
      <c r="B18" s="75">
        <v>55098.33</v>
      </c>
      <c r="C18" s="75">
        <v>15500</v>
      </c>
      <c r="D18" s="75">
        <v>248730.33</v>
      </c>
      <c r="E18" s="75">
        <v>141225</v>
      </c>
      <c r="F18" s="76">
        <v>1.7612000000000001</v>
      </c>
      <c r="G18" s="75">
        <v>500000</v>
      </c>
      <c r="H18" s="76">
        <v>0.49740000000000001</v>
      </c>
    </row>
    <row r="19" spans="1:8" ht="30" customHeight="1">
      <c r="A19" s="71" t="s">
        <v>445</v>
      </c>
      <c r="B19" s="77">
        <v>55098.33</v>
      </c>
      <c r="C19" s="77">
        <v>15500</v>
      </c>
      <c r="D19" s="77">
        <v>248730.33</v>
      </c>
      <c r="E19" s="77">
        <v>141225</v>
      </c>
      <c r="F19" s="78">
        <v>1.7612000000000001</v>
      </c>
      <c r="G19" s="77">
        <v>500000</v>
      </c>
      <c r="H19" s="78">
        <v>0.49740000000000001</v>
      </c>
    </row>
    <row r="20" spans="1:8" ht="30" customHeight="1">
      <c r="A20" s="74" t="s">
        <v>446</v>
      </c>
      <c r="B20" s="75">
        <v>145967.25</v>
      </c>
      <c r="C20" s="75">
        <v>85550</v>
      </c>
      <c r="D20" s="75">
        <v>325420.78999999998</v>
      </c>
      <c r="E20" s="75">
        <v>206175</v>
      </c>
      <c r="F20" s="76">
        <v>1.5783</v>
      </c>
      <c r="G20" s="75">
        <v>514500</v>
      </c>
      <c r="H20" s="76">
        <v>0.63239999999999996</v>
      </c>
    </row>
    <row r="21" spans="1:8" ht="30" customHeight="1">
      <c r="A21" s="71" t="s">
        <v>447</v>
      </c>
      <c r="B21" s="77">
        <v>123219.07</v>
      </c>
      <c r="C21" s="77">
        <v>76000</v>
      </c>
      <c r="D21" s="77">
        <v>264647.99</v>
      </c>
      <c r="E21" s="77">
        <v>168000</v>
      </c>
      <c r="F21" s="78">
        <v>1.5751999999999999</v>
      </c>
      <c r="G21" s="77">
        <v>400000</v>
      </c>
      <c r="H21" s="78">
        <v>0.66159999999999997</v>
      </c>
    </row>
    <row r="22" spans="1:8" ht="30" customHeight="1">
      <c r="A22" s="71" t="s">
        <v>448</v>
      </c>
      <c r="B22" s="79">
        <v>2185</v>
      </c>
      <c r="C22" s="79">
        <v>0</v>
      </c>
      <c r="D22" s="79">
        <v>6095</v>
      </c>
      <c r="E22" s="79">
        <v>0</v>
      </c>
      <c r="F22" s="80">
        <v>60.95</v>
      </c>
      <c r="G22" s="79">
        <v>0</v>
      </c>
      <c r="H22" s="80">
        <v>60.95</v>
      </c>
    </row>
    <row r="23" spans="1:8" ht="30" customHeight="1">
      <c r="A23" s="71" t="s">
        <v>449</v>
      </c>
      <c r="B23" s="77">
        <v>15483.32</v>
      </c>
      <c r="C23" s="77">
        <v>6675</v>
      </c>
      <c r="D23" s="77">
        <v>38970.78</v>
      </c>
      <c r="E23" s="77">
        <v>26675</v>
      </c>
      <c r="F23" s="78">
        <v>1.4609000000000001</v>
      </c>
      <c r="G23" s="77">
        <v>80000</v>
      </c>
      <c r="H23" s="78">
        <v>0.48709999999999998</v>
      </c>
    </row>
    <row r="24" spans="1:8" ht="30" customHeight="1">
      <c r="A24" s="71" t="s">
        <v>450</v>
      </c>
      <c r="B24" s="79">
        <v>2539.25</v>
      </c>
      <c r="C24" s="79">
        <v>2500</v>
      </c>
      <c r="D24" s="79">
        <v>9629.68</v>
      </c>
      <c r="E24" s="79">
        <v>10000</v>
      </c>
      <c r="F24" s="80">
        <v>0.96289999999999998</v>
      </c>
      <c r="G24" s="79">
        <v>30000</v>
      </c>
      <c r="H24" s="80">
        <v>0.32090000000000002</v>
      </c>
    </row>
    <row r="25" spans="1:8" ht="30" customHeight="1">
      <c r="A25" s="71" t="s">
        <v>451</v>
      </c>
      <c r="B25" s="77">
        <v>2540.61</v>
      </c>
      <c r="C25" s="77">
        <v>375</v>
      </c>
      <c r="D25" s="77">
        <v>6077.34</v>
      </c>
      <c r="E25" s="77">
        <v>1500</v>
      </c>
      <c r="F25" s="78">
        <v>4.0514999999999999</v>
      </c>
      <c r="G25" s="77">
        <v>4500</v>
      </c>
      <c r="H25" s="78">
        <v>1.3505</v>
      </c>
    </row>
    <row r="26" spans="1:8" ht="30" customHeight="1">
      <c r="A26" s="74" t="s">
        <v>452</v>
      </c>
      <c r="B26" s="75">
        <v>103371.82</v>
      </c>
      <c r="C26" s="75">
        <v>115765</v>
      </c>
      <c r="D26" s="75">
        <v>1542709.52</v>
      </c>
      <c r="E26" s="75">
        <v>327310</v>
      </c>
      <c r="F26" s="76">
        <v>4.7131999999999996</v>
      </c>
      <c r="G26" s="75">
        <v>774500</v>
      </c>
      <c r="H26" s="76">
        <v>1.9918</v>
      </c>
    </row>
    <row r="27" spans="1:8" ht="30" customHeight="1">
      <c r="A27" s="71" t="s">
        <v>453</v>
      </c>
      <c r="B27" s="77">
        <v>0</v>
      </c>
      <c r="C27" s="77">
        <v>0</v>
      </c>
      <c r="D27" s="77">
        <v>11037.34</v>
      </c>
      <c r="E27" s="77">
        <v>12500</v>
      </c>
      <c r="F27" s="78">
        <v>0.88290000000000002</v>
      </c>
      <c r="G27" s="77">
        <v>50000</v>
      </c>
      <c r="H27" s="78">
        <v>0.22070000000000001</v>
      </c>
    </row>
    <row r="28" spans="1:8" ht="30" customHeight="1">
      <c r="A28" s="71" t="s">
        <v>454</v>
      </c>
      <c r="B28" s="79">
        <v>42500</v>
      </c>
      <c r="C28" s="79">
        <v>42500</v>
      </c>
      <c r="D28" s="79">
        <v>42500</v>
      </c>
      <c r="E28" s="79">
        <v>42500</v>
      </c>
      <c r="F28" s="80">
        <v>1</v>
      </c>
      <c r="G28" s="79">
        <v>85000</v>
      </c>
      <c r="H28" s="80">
        <v>0.5</v>
      </c>
    </row>
    <row r="29" spans="1:8" ht="30" customHeight="1">
      <c r="A29" s="71" t="s">
        <v>455</v>
      </c>
      <c r="B29" s="77">
        <v>1800</v>
      </c>
      <c r="C29" s="77">
        <v>1650</v>
      </c>
      <c r="D29" s="77">
        <v>11550</v>
      </c>
      <c r="E29" s="77">
        <v>6650</v>
      </c>
      <c r="F29" s="78">
        <v>1.7367999999999999</v>
      </c>
      <c r="G29" s="77">
        <v>20000</v>
      </c>
      <c r="H29" s="78">
        <v>0.57750000000000001</v>
      </c>
    </row>
    <row r="30" spans="1:8" ht="30" customHeight="1">
      <c r="A30" s="71" t="s">
        <v>456</v>
      </c>
      <c r="B30" s="79">
        <v>12930</v>
      </c>
      <c r="C30" s="79">
        <v>26500</v>
      </c>
      <c r="D30" s="79">
        <v>39700</v>
      </c>
      <c r="E30" s="79">
        <v>47700</v>
      </c>
      <c r="F30" s="80">
        <v>0.83220000000000005</v>
      </c>
      <c r="G30" s="79">
        <v>53000</v>
      </c>
      <c r="H30" s="80">
        <v>0.749</v>
      </c>
    </row>
    <row r="31" spans="1:8" ht="30" customHeight="1">
      <c r="A31" s="71" t="s">
        <v>457</v>
      </c>
      <c r="B31" s="77">
        <v>11738.15</v>
      </c>
      <c r="C31" s="77">
        <v>4700</v>
      </c>
      <c r="D31" s="77">
        <v>37058.870000000003</v>
      </c>
      <c r="E31" s="77">
        <v>18800</v>
      </c>
      <c r="F31" s="78">
        <v>1.9712000000000001</v>
      </c>
      <c r="G31" s="77">
        <v>56500</v>
      </c>
      <c r="H31" s="78">
        <v>0.65590000000000004</v>
      </c>
    </row>
    <row r="32" spans="1:8" ht="30" customHeight="1">
      <c r="A32" s="71" t="s">
        <v>458</v>
      </c>
      <c r="B32" s="79">
        <v>0</v>
      </c>
      <c r="C32" s="79">
        <v>0</v>
      </c>
      <c r="D32" s="79">
        <v>23.55</v>
      </c>
      <c r="E32" s="79">
        <v>0</v>
      </c>
      <c r="F32" s="80">
        <v>0.23549999999999999</v>
      </c>
      <c r="G32" s="79">
        <v>0</v>
      </c>
      <c r="H32" s="80">
        <v>0.23549999999999999</v>
      </c>
    </row>
    <row r="33" spans="1:11" ht="30" customHeight="1">
      <c r="A33" s="71" t="s">
        <v>459</v>
      </c>
      <c r="B33" s="77">
        <v>2000</v>
      </c>
      <c r="C33" s="77">
        <v>125</v>
      </c>
      <c r="D33" s="77">
        <v>2500</v>
      </c>
      <c r="E33" s="77">
        <v>500</v>
      </c>
      <c r="F33" s="78">
        <v>5</v>
      </c>
      <c r="G33" s="77">
        <v>1500</v>
      </c>
      <c r="H33" s="78">
        <v>1.6666000000000001</v>
      </c>
    </row>
    <row r="34" spans="1:11" ht="30" customHeight="1">
      <c r="A34" s="71" t="s">
        <v>460</v>
      </c>
      <c r="B34" s="79">
        <v>29813.13</v>
      </c>
      <c r="C34" s="79">
        <v>25000</v>
      </c>
      <c r="D34" s="79">
        <v>114935.87</v>
      </c>
      <c r="E34" s="79">
        <v>100000</v>
      </c>
      <c r="F34" s="80">
        <v>1.1493</v>
      </c>
      <c r="G34" s="79">
        <v>300000</v>
      </c>
      <c r="H34" s="80">
        <v>0.3831</v>
      </c>
    </row>
    <row r="35" spans="1:11" ht="30" customHeight="1">
      <c r="A35" s="71" t="s">
        <v>461</v>
      </c>
      <c r="B35" s="81">
        <v>10</v>
      </c>
      <c r="C35" s="81">
        <v>0</v>
      </c>
      <c r="D35" s="81">
        <v>2210</v>
      </c>
      <c r="E35" s="81">
        <v>0</v>
      </c>
      <c r="F35" s="78">
        <v>22.1</v>
      </c>
      <c r="G35" s="77">
        <v>0</v>
      </c>
      <c r="H35" s="78">
        <v>22.1</v>
      </c>
    </row>
    <row r="36" spans="1:11" ht="30" customHeight="1">
      <c r="A36" s="71" t="s">
        <v>462</v>
      </c>
      <c r="B36" s="81">
        <v>0</v>
      </c>
      <c r="C36" s="81">
        <v>0</v>
      </c>
      <c r="D36" s="81">
        <v>6000</v>
      </c>
      <c r="E36" s="81">
        <v>0</v>
      </c>
      <c r="F36" s="80">
        <v>60</v>
      </c>
      <c r="G36" s="79">
        <v>0</v>
      </c>
      <c r="H36" s="80">
        <v>60</v>
      </c>
    </row>
    <row r="37" spans="1:11" ht="30" customHeight="1">
      <c r="A37" s="71" t="s">
        <v>463</v>
      </c>
      <c r="B37" s="77">
        <v>225</v>
      </c>
      <c r="C37" s="77">
        <v>85</v>
      </c>
      <c r="D37" s="77">
        <v>475</v>
      </c>
      <c r="E37" s="77">
        <v>330</v>
      </c>
      <c r="F37" s="78">
        <v>1.4393</v>
      </c>
      <c r="G37" s="77">
        <v>1000</v>
      </c>
      <c r="H37" s="78">
        <v>0.47499999999999998</v>
      </c>
    </row>
    <row r="38" spans="1:11" ht="30" customHeight="1">
      <c r="A38" s="71" t="s">
        <v>464</v>
      </c>
      <c r="B38" s="79">
        <v>960</v>
      </c>
      <c r="C38" s="79">
        <v>15000</v>
      </c>
      <c r="D38" s="79">
        <v>1960</v>
      </c>
      <c r="E38" s="79">
        <v>50000</v>
      </c>
      <c r="F38" s="80">
        <v>3.9199999999999999E-2</v>
      </c>
      <c r="G38" s="79">
        <v>60000</v>
      </c>
      <c r="H38" s="80">
        <v>3.2599999999999997E-2</v>
      </c>
    </row>
    <row r="39" spans="1:11" ht="30" customHeight="1">
      <c r="A39" s="71" t="s">
        <v>465</v>
      </c>
      <c r="B39" s="77">
        <v>764.14</v>
      </c>
      <c r="C39" s="77">
        <v>0</v>
      </c>
      <c r="D39" s="77">
        <v>8447.32</v>
      </c>
      <c r="E39" s="77">
        <v>0</v>
      </c>
      <c r="F39" s="78">
        <v>84.473200000000006</v>
      </c>
      <c r="G39" s="77">
        <v>0</v>
      </c>
      <c r="H39" s="78">
        <v>84.473200000000006</v>
      </c>
    </row>
    <row r="40" spans="1:11" ht="30" customHeight="1">
      <c r="A40" s="71" t="s">
        <v>466</v>
      </c>
      <c r="B40" s="79">
        <v>0</v>
      </c>
      <c r="C40" s="79">
        <v>0</v>
      </c>
      <c r="D40" s="79">
        <v>59009.64</v>
      </c>
      <c r="E40" s="79">
        <v>47500</v>
      </c>
      <c r="F40" s="80">
        <v>1.2423</v>
      </c>
      <c r="G40" s="79">
        <v>95000</v>
      </c>
      <c r="H40" s="80">
        <v>0.62109999999999999</v>
      </c>
    </row>
    <row r="41" spans="1:11" ht="30" customHeight="1">
      <c r="A41" s="71" t="s">
        <v>467</v>
      </c>
      <c r="B41" s="81">
        <v>631.4</v>
      </c>
      <c r="C41" s="81">
        <v>205</v>
      </c>
      <c r="D41" s="81">
        <v>66746.38</v>
      </c>
      <c r="E41" s="81">
        <v>830</v>
      </c>
      <c r="F41" s="78">
        <v>80.417299999999997</v>
      </c>
      <c r="G41" s="77">
        <v>2500</v>
      </c>
      <c r="H41" s="78">
        <v>26.698499999999999</v>
      </c>
    </row>
    <row r="42" spans="1:11" ht="30" customHeight="1">
      <c r="A42" s="71" t="s">
        <v>468</v>
      </c>
      <c r="B42" s="81">
        <v>0</v>
      </c>
      <c r="C42" s="81">
        <v>0</v>
      </c>
      <c r="D42" s="81">
        <v>1138555.55</v>
      </c>
      <c r="E42" s="81">
        <v>0</v>
      </c>
      <c r="F42" s="80">
        <v>11385.5555</v>
      </c>
      <c r="G42" s="79">
        <v>0</v>
      </c>
      <c r="H42" s="80">
        <v>11385.5555</v>
      </c>
    </row>
    <row r="43" spans="1:11" ht="30" customHeight="1">
      <c r="A43" s="71" t="s">
        <v>469</v>
      </c>
      <c r="B43" s="77">
        <v>0</v>
      </c>
      <c r="C43" s="77">
        <v>0</v>
      </c>
      <c r="D43" s="77">
        <v>0</v>
      </c>
      <c r="E43" s="77">
        <v>0</v>
      </c>
      <c r="F43" s="78">
        <v>0</v>
      </c>
      <c r="G43" s="77">
        <v>50000</v>
      </c>
      <c r="H43" s="78">
        <v>0</v>
      </c>
    </row>
    <row r="44" spans="1:11" ht="30" customHeight="1">
      <c r="A44" s="82" t="s">
        <v>17</v>
      </c>
      <c r="B44" s="83">
        <v>948964.07</v>
      </c>
      <c r="C44" s="83">
        <v>898130</v>
      </c>
      <c r="D44" s="83">
        <v>4432808.2699999996</v>
      </c>
      <c r="E44" s="83">
        <v>3203016</v>
      </c>
      <c r="F44" s="84">
        <v>1.3838999999999999</v>
      </c>
      <c r="G44" s="83">
        <v>6656566</v>
      </c>
      <c r="H44" s="84">
        <v>0.66590000000000005</v>
      </c>
      <c r="K44" s="93">
        <f>+D44-D42-D41-D36-D35</f>
        <v>3219296.34</v>
      </c>
    </row>
    <row r="47" spans="1:11" s="85" customFormat="1" ht="63">
      <c r="A47" s="69" t="s">
        <v>470</v>
      </c>
      <c r="B47" s="69" t="s">
        <v>422</v>
      </c>
      <c r="C47" s="69" t="s">
        <v>423</v>
      </c>
      <c r="D47" s="69" t="s">
        <v>424</v>
      </c>
      <c r="E47" s="69" t="s">
        <v>425</v>
      </c>
      <c r="F47" s="69" t="s">
        <v>426</v>
      </c>
      <c r="G47" s="69" t="s">
        <v>427</v>
      </c>
      <c r="H47" s="69" t="s">
        <v>428</v>
      </c>
    </row>
    <row r="48" spans="1:11" ht="30" customHeight="1">
      <c r="A48" s="74" t="s">
        <v>434</v>
      </c>
      <c r="B48" s="75">
        <f>+B49</f>
        <v>43129.095000000001</v>
      </c>
      <c r="C48" s="75">
        <f>+C49</f>
        <v>37537.5</v>
      </c>
      <c r="D48" s="75">
        <f>+D49</f>
        <v>72856.23</v>
      </c>
      <c r="E48" s="75">
        <f>+E49</f>
        <v>64825</v>
      </c>
      <c r="F48" s="76">
        <f>+D48/E48</f>
        <v>1.1238909371384496</v>
      </c>
      <c r="G48" s="75">
        <f>+G49</f>
        <v>237500</v>
      </c>
      <c r="H48" s="76">
        <f>+D48/G48</f>
        <v>0.30676307368421052</v>
      </c>
    </row>
    <row r="49" spans="1:11" ht="30" customHeight="1">
      <c r="A49" s="71" t="s">
        <v>435</v>
      </c>
      <c r="B49" s="79">
        <f>+B9*0.5</f>
        <v>43129.095000000001</v>
      </c>
      <c r="C49" s="79">
        <f>+C9*0.5</f>
        <v>37537.5</v>
      </c>
      <c r="D49" s="79">
        <f>+D9*0.5</f>
        <v>72856.23</v>
      </c>
      <c r="E49" s="79">
        <f>+E9*0.5</f>
        <v>64825</v>
      </c>
      <c r="F49" s="80">
        <v>1.1237999999999999</v>
      </c>
      <c r="G49" s="79">
        <f>+G9*0.5</f>
        <v>237500</v>
      </c>
      <c r="H49" s="80">
        <v>0.30669999999999997</v>
      </c>
    </row>
    <row r="50" spans="1:11" ht="30" customHeight="1">
      <c r="A50" s="74" t="s">
        <v>440</v>
      </c>
      <c r="B50" s="75">
        <f>SUM(B51:B53)</f>
        <v>99992.184500000003</v>
      </c>
      <c r="C50" s="75">
        <f>SUM(C51:C53)</f>
        <v>68121.3</v>
      </c>
      <c r="D50" s="75">
        <f>SUM(D51:D53)</f>
        <v>185593.43530000001</v>
      </c>
      <c r="E50" s="75">
        <f>SUM(E51:E53)</f>
        <v>191280.18</v>
      </c>
      <c r="F50" s="76">
        <f>+D50/E50</f>
        <v>0.97027007868771353</v>
      </c>
      <c r="G50" s="75">
        <f>SUM(G51:G53)</f>
        <v>271406.2</v>
      </c>
      <c r="H50" s="76">
        <f>+D50/G50</f>
        <v>0.68382164924751165</v>
      </c>
    </row>
    <row r="51" spans="1:11" ht="30" customHeight="1">
      <c r="A51" s="71" t="s">
        <v>441</v>
      </c>
      <c r="B51" s="79">
        <f t="shared" ref="B51:E53" si="0">0.13*B15</f>
        <v>2444</v>
      </c>
      <c r="C51" s="79">
        <f t="shared" si="0"/>
        <v>1872</v>
      </c>
      <c r="D51" s="79">
        <f t="shared" si="0"/>
        <v>63889.416499999999</v>
      </c>
      <c r="E51" s="79">
        <f t="shared" si="0"/>
        <v>62400</v>
      </c>
      <c r="F51" s="80">
        <v>1.0238</v>
      </c>
      <c r="G51" s="79">
        <f>0.13*G15</f>
        <v>62400</v>
      </c>
      <c r="H51" s="80">
        <v>1.0238</v>
      </c>
    </row>
    <row r="52" spans="1:11" ht="30" customHeight="1">
      <c r="A52" s="71" t="s">
        <v>442</v>
      </c>
      <c r="B52" s="79">
        <f t="shared" si="0"/>
        <v>17166.220499999996</v>
      </c>
      <c r="C52" s="79">
        <f t="shared" si="0"/>
        <v>14690</v>
      </c>
      <c r="D52" s="79">
        <f t="shared" si="0"/>
        <v>24144.613999999998</v>
      </c>
      <c r="E52" s="79">
        <f t="shared" si="0"/>
        <v>25740</v>
      </c>
      <c r="F52" s="78">
        <v>0.6</v>
      </c>
      <c r="G52" s="79">
        <f>0.13*G16</f>
        <v>41956.200000000004</v>
      </c>
      <c r="H52" s="78">
        <v>0.36809999999999998</v>
      </c>
    </row>
    <row r="53" spans="1:11" ht="30" customHeight="1">
      <c r="A53" s="71" t="s">
        <v>443</v>
      </c>
      <c r="B53" s="79">
        <f t="shared" si="0"/>
        <v>80381.964000000007</v>
      </c>
      <c r="C53" s="79">
        <f t="shared" si="0"/>
        <v>51559.3</v>
      </c>
      <c r="D53" s="79">
        <f t="shared" si="0"/>
        <v>97559.404800000004</v>
      </c>
      <c r="E53" s="79">
        <f t="shared" si="0"/>
        <v>103140.18000000001</v>
      </c>
      <c r="F53" s="80">
        <v>0.52680000000000005</v>
      </c>
      <c r="G53" s="79">
        <f>0.13*G17</f>
        <v>167050</v>
      </c>
      <c r="H53" s="80">
        <v>0.32519999999999999</v>
      </c>
    </row>
    <row r="54" spans="1:11" ht="30" customHeight="1">
      <c r="A54" s="74" t="s">
        <v>444</v>
      </c>
      <c r="B54" s="75">
        <f>+B55</f>
        <v>11019.666000000001</v>
      </c>
      <c r="C54" s="75">
        <f>+C55</f>
        <v>3100</v>
      </c>
      <c r="D54" s="75">
        <f>+D55</f>
        <v>49746.065999999999</v>
      </c>
      <c r="E54" s="75">
        <f>+E55</f>
        <v>28245</v>
      </c>
      <c r="F54" s="76">
        <f>+D54/E54</f>
        <v>1.7612344131704727</v>
      </c>
      <c r="G54" s="75">
        <f>+G55</f>
        <v>100000</v>
      </c>
      <c r="H54" s="76">
        <f>+D54/G54</f>
        <v>0.49746066</v>
      </c>
    </row>
    <row r="55" spans="1:11" ht="30" customHeight="1">
      <c r="A55" s="71" t="s">
        <v>445</v>
      </c>
      <c r="B55" s="79">
        <f>0.2*B19</f>
        <v>11019.666000000001</v>
      </c>
      <c r="C55" s="79">
        <f>0.2*C19</f>
        <v>3100</v>
      </c>
      <c r="D55" s="79">
        <f>0.2*D19</f>
        <v>49746.065999999999</v>
      </c>
      <c r="E55" s="79">
        <f>0.2*E19</f>
        <v>28245</v>
      </c>
      <c r="F55" s="80">
        <v>1.7612000000000001</v>
      </c>
      <c r="G55" s="79">
        <f>0.2*G19</f>
        <v>100000</v>
      </c>
      <c r="H55" s="80">
        <v>0.49740000000000001</v>
      </c>
    </row>
    <row r="56" spans="1:11" ht="30" customHeight="1">
      <c r="A56" s="82" t="s">
        <v>471</v>
      </c>
      <c r="B56" s="83">
        <f>+B48+B50+B54</f>
        <v>154140.9455</v>
      </c>
      <c r="C56" s="83">
        <f>+C48+C50+C54</f>
        <v>108758.8</v>
      </c>
      <c r="D56" s="83">
        <f>+D48+D50+D54</f>
        <v>308195.73129999998</v>
      </c>
      <c r="E56" s="83">
        <f>+E48+E50+E54</f>
        <v>284350.18</v>
      </c>
      <c r="F56" s="84">
        <f>+D56/E56</f>
        <v>1.0838598072981702</v>
      </c>
      <c r="G56" s="83">
        <f>+G48+G50+G54</f>
        <v>608906.19999999995</v>
      </c>
      <c r="H56" s="84">
        <f>+D56/G56</f>
        <v>0.50614648249599037</v>
      </c>
    </row>
    <row r="59" spans="1:11" ht="63">
      <c r="A59" s="86"/>
      <c r="B59" s="69" t="s">
        <v>472</v>
      </c>
      <c r="C59" s="69" t="s">
        <v>423</v>
      </c>
      <c r="D59" s="69" t="s">
        <v>473</v>
      </c>
      <c r="E59" s="69" t="s">
        <v>474</v>
      </c>
      <c r="F59" s="69" t="s">
        <v>475</v>
      </c>
      <c r="G59" s="69" t="s">
        <v>476</v>
      </c>
      <c r="H59" s="69" t="s">
        <v>477</v>
      </c>
    </row>
    <row r="60" spans="1:11" ht="30" customHeight="1">
      <c r="A60" s="71" t="s">
        <v>478</v>
      </c>
      <c r="B60" s="72"/>
      <c r="C60" s="72"/>
      <c r="D60" s="72"/>
      <c r="E60" s="72"/>
      <c r="F60" s="72"/>
      <c r="G60" s="72"/>
      <c r="H60" s="72"/>
    </row>
    <row r="61" spans="1:11" ht="30" customHeight="1">
      <c r="A61" s="74" t="s">
        <v>479</v>
      </c>
      <c r="B61" s="75">
        <v>60079.3</v>
      </c>
      <c r="C61" s="75">
        <v>93487</v>
      </c>
      <c r="D61" s="75">
        <v>960801.91</v>
      </c>
      <c r="E61" s="75">
        <v>271811</v>
      </c>
      <c r="F61" s="76">
        <v>3.5348000000000002</v>
      </c>
      <c r="G61" s="75">
        <v>829400</v>
      </c>
      <c r="H61" s="76">
        <v>1.1584000000000001</v>
      </c>
      <c r="K61" s="93">
        <f>+D61-D71-D95-D96-D97-D98</f>
        <v>431908.43</v>
      </c>
    </row>
    <row r="62" spans="1:11" ht="30" customHeight="1">
      <c r="A62" s="71" t="s">
        <v>480</v>
      </c>
      <c r="B62" s="72"/>
      <c r="C62" s="72"/>
      <c r="D62" s="72"/>
      <c r="E62" s="72"/>
      <c r="F62" s="72"/>
      <c r="G62" s="72"/>
      <c r="H62" s="72"/>
    </row>
    <row r="63" spans="1:11" ht="30" customHeight="1">
      <c r="A63" s="71" t="s">
        <v>481</v>
      </c>
      <c r="B63" s="79">
        <v>1656.5</v>
      </c>
      <c r="C63" s="79">
        <v>3015</v>
      </c>
      <c r="D63" s="79">
        <v>8898.56</v>
      </c>
      <c r="E63" s="79">
        <v>12225</v>
      </c>
      <c r="F63" s="80">
        <v>0.7278</v>
      </c>
      <c r="G63" s="79">
        <v>36500</v>
      </c>
      <c r="H63" s="80">
        <v>0.2437</v>
      </c>
    </row>
    <row r="64" spans="1:11" ht="30" customHeight="1">
      <c r="A64" s="71" t="s">
        <v>482</v>
      </c>
      <c r="B64" s="77">
        <v>90</v>
      </c>
      <c r="C64" s="77">
        <v>0</v>
      </c>
      <c r="D64" s="77">
        <v>550</v>
      </c>
      <c r="E64" s="77">
        <v>0</v>
      </c>
      <c r="F64" s="78">
        <v>5.5</v>
      </c>
      <c r="G64" s="77">
        <v>0</v>
      </c>
      <c r="H64" s="78">
        <v>5.5</v>
      </c>
    </row>
    <row r="65" spans="1:8" ht="30" customHeight="1">
      <c r="A65" s="71" t="s">
        <v>483</v>
      </c>
      <c r="B65" s="79">
        <v>0</v>
      </c>
      <c r="C65" s="79">
        <v>500</v>
      </c>
      <c r="D65" s="79">
        <v>0</v>
      </c>
      <c r="E65" s="79">
        <v>500</v>
      </c>
      <c r="F65" s="80">
        <v>0</v>
      </c>
      <c r="G65" s="79">
        <v>5000</v>
      </c>
      <c r="H65" s="80">
        <v>0</v>
      </c>
    </row>
    <row r="66" spans="1:8" ht="30" customHeight="1">
      <c r="A66" s="71" t="s">
        <v>484</v>
      </c>
      <c r="B66" s="77">
        <v>0</v>
      </c>
      <c r="C66" s="77">
        <v>0</v>
      </c>
      <c r="D66" s="77">
        <v>0</v>
      </c>
      <c r="E66" s="77">
        <v>0</v>
      </c>
      <c r="F66" s="78">
        <v>0</v>
      </c>
      <c r="G66" s="77">
        <v>15000</v>
      </c>
      <c r="H66" s="78">
        <v>0</v>
      </c>
    </row>
    <row r="67" spans="1:8" ht="30" customHeight="1">
      <c r="A67" s="71" t="s">
        <v>485</v>
      </c>
      <c r="B67" s="79">
        <v>0</v>
      </c>
      <c r="C67" s="79">
        <v>835</v>
      </c>
      <c r="D67" s="79">
        <v>6335</v>
      </c>
      <c r="E67" s="79">
        <v>3335</v>
      </c>
      <c r="F67" s="80">
        <v>1.8995</v>
      </c>
      <c r="G67" s="79">
        <v>10000</v>
      </c>
      <c r="H67" s="80">
        <v>0.63349999999999995</v>
      </c>
    </row>
    <row r="68" spans="1:8" ht="30" customHeight="1">
      <c r="A68" s="71" t="s">
        <v>486</v>
      </c>
      <c r="B68" s="77">
        <v>3025</v>
      </c>
      <c r="C68" s="77">
        <v>5850</v>
      </c>
      <c r="D68" s="77">
        <v>44128.43</v>
      </c>
      <c r="E68" s="77">
        <v>23350</v>
      </c>
      <c r="F68" s="78">
        <v>1.8897999999999999</v>
      </c>
      <c r="G68" s="77">
        <v>70000</v>
      </c>
      <c r="H68" s="78">
        <v>0.63039999999999996</v>
      </c>
    </row>
    <row r="69" spans="1:8" ht="30" customHeight="1">
      <c r="A69" s="71" t="s">
        <v>487</v>
      </c>
      <c r="B69" s="79">
        <v>0</v>
      </c>
      <c r="C69" s="79">
        <v>33750</v>
      </c>
      <c r="D69" s="79">
        <v>35475</v>
      </c>
      <c r="E69" s="79">
        <v>33750</v>
      </c>
      <c r="F69" s="80">
        <v>1.0510999999999999</v>
      </c>
      <c r="G69" s="79">
        <v>67500</v>
      </c>
      <c r="H69" s="80">
        <v>0.52549999999999997</v>
      </c>
    </row>
    <row r="70" spans="1:8" ht="30" customHeight="1">
      <c r="A70" s="71" t="s">
        <v>488</v>
      </c>
      <c r="B70" s="77">
        <v>922</v>
      </c>
      <c r="C70" s="77">
        <v>250</v>
      </c>
      <c r="D70" s="77">
        <v>3737.56</v>
      </c>
      <c r="E70" s="77">
        <v>1000</v>
      </c>
      <c r="F70" s="78">
        <v>3.7374999999999998</v>
      </c>
      <c r="G70" s="77">
        <v>3000</v>
      </c>
      <c r="H70" s="78">
        <v>1.2458</v>
      </c>
    </row>
    <row r="71" spans="1:8" ht="30" customHeight="1">
      <c r="A71" s="71" t="s">
        <v>489</v>
      </c>
      <c r="B71" s="81">
        <v>0</v>
      </c>
      <c r="C71" s="81">
        <v>0</v>
      </c>
      <c r="D71" s="81">
        <v>12258.98</v>
      </c>
      <c r="E71" s="81">
        <v>0</v>
      </c>
      <c r="F71" s="80">
        <v>122.5898</v>
      </c>
      <c r="G71" s="79">
        <v>0</v>
      </c>
      <c r="H71" s="80">
        <v>122.5898</v>
      </c>
    </row>
    <row r="72" spans="1:8" ht="30" customHeight="1">
      <c r="A72" s="71" t="s">
        <v>490</v>
      </c>
      <c r="B72" s="77">
        <v>789.87</v>
      </c>
      <c r="C72" s="77">
        <v>10325</v>
      </c>
      <c r="D72" s="77">
        <v>39747.5</v>
      </c>
      <c r="E72" s="77">
        <v>41300</v>
      </c>
      <c r="F72" s="78">
        <v>0.96240000000000003</v>
      </c>
      <c r="G72" s="77">
        <v>123900</v>
      </c>
      <c r="H72" s="78">
        <v>0.32079999999999997</v>
      </c>
    </row>
    <row r="73" spans="1:8" ht="30" customHeight="1">
      <c r="A73" s="71" t="s">
        <v>491</v>
      </c>
      <c r="B73" s="79">
        <v>0</v>
      </c>
      <c r="C73" s="79">
        <v>0</v>
      </c>
      <c r="D73" s="79">
        <v>0</v>
      </c>
      <c r="E73" s="79">
        <v>0</v>
      </c>
      <c r="F73" s="80">
        <v>0</v>
      </c>
      <c r="G73" s="79">
        <v>30000</v>
      </c>
      <c r="H73" s="80">
        <v>0</v>
      </c>
    </row>
    <row r="74" spans="1:8" ht="30" customHeight="1">
      <c r="A74" s="71" t="s">
        <v>492</v>
      </c>
      <c r="B74" s="77">
        <v>1621.23</v>
      </c>
      <c r="C74" s="77">
        <v>1675</v>
      </c>
      <c r="D74" s="77">
        <v>4162.53</v>
      </c>
      <c r="E74" s="77">
        <v>6700</v>
      </c>
      <c r="F74" s="78">
        <v>0.62119999999999997</v>
      </c>
      <c r="G74" s="77">
        <v>20000</v>
      </c>
      <c r="H74" s="78">
        <v>0.20810000000000001</v>
      </c>
    </row>
    <row r="75" spans="1:8" ht="30" customHeight="1">
      <c r="A75" s="71" t="s">
        <v>493</v>
      </c>
      <c r="B75" s="79">
        <v>0</v>
      </c>
      <c r="C75" s="79">
        <v>0</v>
      </c>
      <c r="D75" s="79">
        <v>-12634.22</v>
      </c>
      <c r="E75" s="79">
        <v>0</v>
      </c>
      <c r="F75" s="80">
        <v>-126.34220000000001</v>
      </c>
      <c r="G75" s="79">
        <v>0</v>
      </c>
      <c r="H75" s="80">
        <v>-126.34220000000001</v>
      </c>
    </row>
    <row r="76" spans="1:8" ht="30" customHeight="1">
      <c r="A76" s="71" t="s">
        <v>494</v>
      </c>
      <c r="B76" s="77">
        <v>1759.84</v>
      </c>
      <c r="C76" s="77">
        <v>415</v>
      </c>
      <c r="D76" s="77">
        <v>6226.66</v>
      </c>
      <c r="E76" s="77">
        <v>1660</v>
      </c>
      <c r="F76" s="78">
        <v>3.7509999999999999</v>
      </c>
      <c r="G76" s="77">
        <v>5000</v>
      </c>
      <c r="H76" s="78">
        <v>1.2453000000000001</v>
      </c>
    </row>
    <row r="77" spans="1:8" ht="30" customHeight="1">
      <c r="A77" s="71" t="s">
        <v>495</v>
      </c>
      <c r="B77" s="79">
        <v>2223.64</v>
      </c>
      <c r="C77" s="79">
        <v>415</v>
      </c>
      <c r="D77" s="79">
        <v>84225.15</v>
      </c>
      <c r="E77" s="79">
        <v>1660</v>
      </c>
      <c r="F77" s="80">
        <v>50.738</v>
      </c>
      <c r="G77" s="79">
        <v>5000</v>
      </c>
      <c r="H77" s="80">
        <v>16.844999999999999</v>
      </c>
    </row>
    <row r="78" spans="1:8" ht="30" customHeight="1">
      <c r="A78" s="71" t="s">
        <v>496</v>
      </c>
      <c r="B78" s="77">
        <v>1658.24</v>
      </c>
      <c r="C78" s="77">
        <v>1250</v>
      </c>
      <c r="D78" s="77">
        <v>4678.24</v>
      </c>
      <c r="E78" s="77">
        <v>5000</v>
      </c>
      <c r="F78" s="78">
        <v>0.93559999999999999</v>
      </c>
      <c r="G78" s="77">
        <v>15000</v>
      </c>
      <c r="H78" s="78">
        <v>0.31180000000000002</v>
      </c>
    </row>
    <row r="79" spans="1:8" ht="30" customHeight="1">
      <c r="A79" s="71" t="s">
        <v>497</v>
      </c>
      <c r="B79" s="79">
        <v>0</v>
      </c>
      <c r="C79" s="79">
        <v>0</v>
      </c>
      <c r="D79" s="79">
        <v>0</v>
      </c>
      <c r="E79" s="79">
        <v>500</v>
      </c>
      <c r="F79" s="80">
        <v>0</v>
      </c>
      <c r="G79" s="79">
        <v>1000</v>
      </c>
      <c r="H79" s="80">
        <v>0</v>
      </c>
    </row>
    <row r="80" spans="1:8" ht="30" customHeight="1">
      <c r="A80" s="71" t="s">
        <v>498</v>
      </c>
      <c r="B80" s="77">
        <v>190</v>
      </c>
      <c r="C80" s="77">
        <v>333</v>
      </c>
      <c r="D80" s="77">
        <v>403.84</v>
      </c>
      <c r="E80" s="77">
        <v>1333</v>
      </c>
      <c r="F80" s="78">
        <v>0.3029</v>
      </c>
      <c r="G80" s="77">
        <v>4000</v>
      </c>
      <c r="H80" s="78">
        <v>0.1009</v>
      </c>
    </row>
    <row r="81" spans="1:8" ht="30" customHeight="1">
      <c r="A81" s="71" t="s">
        <v>499</v>
      </c>
      <c r="B81" s="79">
        <v>3304.15</v>
      </c>
      <c r="C81" s="79">
        <v>5500</v>
      </c>
      <c r="D81" s="79">
        <v>19836.669999999998</v>
      </c>
      <c r="E81" s="79">
        <v>22000</v>
      </c>
      <c r="F81" s="80">
        <v>0.90159999999999996</v>
      </c>
      <c r="G81" s="79">
        <v>66000</v>
      </c>
      <c r="H81" s="80">
        <v>0.30049999999999999</v>
      </c>
    </row>
    <row r="82" spans="1:8" ht="30" customHeight="1">
      <c r="A82" s="71" t="s">
        <v>500</v>
      </c>
      <c r="B82" s="77">
        <v>6791.03</v>
      </c>
      <c r="C82" s="77">
        <v>5835</v>
      </c>
      <c r="D82" s="77">
        <v>14987.64</v>
      </c>
      <c r="E82" s="77">
        <v>23335</v>
      </c>
      <c r="F82" s="78">
        <v>0.64219999999999999</v>
      </c>
      <c r="G82" s="77">
        <v>70000</v>
      </c>
      <c r="H82" s="78">
        <v>0.21410000000000001</v>
      </c>
    </row>
    <row r="83" spans="1:8" ht="30" customHeight="1">
      <c r="A83" s="71" t="s">
        <v>501</v>
      </c>
      <c r="B83" s="79">
        <v>73.989999999999995</v>
      </c>
      <c r="C83" s="79">
        <v>417</v>
      </c>
      <c r="D83" s="79">
        <v>1489.32</v>
      </c>
      <c r="E83" s="79">
        <v>1666</v>
      </c>
      <c r="F83" s="80">
        <v>0.89390000000000003</v>
      </c>
      <c r="G83" s="79">
        <v>5000</v>
      </c>
      <c r="H83" s="80">
        <v>0.29780000000000001</v>
      </c>
    </row>
    <row r="84" spans="1:8" ht="30" customHeight="1">
      <c r="A84" s="71" t="s">
        <v>502</v>
      </c>
      <c r="B84" s="77">
        <v>622.5</v>
      </c>
      <c r="C84" s="77">
        <v>583</v>
      </c>
      <c r="D84" s="77">
        <v>2031.94</v>
      </c>
      <c r="E84" s="77">
        <v>2333</v>
      </c>
      <c r="F84" s="78">
        <v>0.87090000000000001</v>
      </c>
      <c r="G84" s="77">
        <v>7000</v>
      </c>
      <c r="H84" s="78">
        <v>0.29020000000000001</v>
      </c>
    </row>
    <row r="85" spans="1:8" ht="30" customHeight="1">
      <c r="A85" s="71" t="s">
        <v>503</v>
      </c>
      <c r="B85" s="79">
        <v>515.44000000000005</v>
      </c>
      <c r="C85" s="79">
        <v>4166</v>
      </c>
      <c r="D85" s="79">
        <v>41716.06</v>
      </c>
      <c r="E85" s="79">
        <v>16666</v>
      </c>
      <c r="F85" s="80">
        <v>2.5030000000000001</v>
      </c>
      <c r="G85" s="79">
        <v>50000</v>
      </c>
      <c r="H85" s="80">
        <v>0.83430000000000004</v>
      </c>
    </row>
    <row r="86" spans="1:8" ht="30" customHeight="1">
      <c r="A86" s="71" t="s">
        <v>504</v>
      </c>
      <c r="B86" s="77">
        <v>16.399999999999999</v>
      </c>
      <c r="C86" s="77">
        <v>1250</v>
      </c>
      <c r="D86" s="77">
        <v>6293.8</v>
      </c>
      <c r="E86" s="77">
        <v>5000</v>
      </c>
      <c r="F86" s="78">
        <v>1.2586999999999999</v>
      </c>
      <c r="G86" s="77">
        <v>15000</v>
      </c>
      <c r="H86" s="78">
        <v>0.41949999999999998</v>
      </c>
    </row>
    <row r="87" spans="1:8" ht="30" customHeight="1">
      <c r="A87" s="71" t="s">
        <v>505</v>
      </c>
      <c r="B87" s="79">
        <v>11855.19</v>
      </c>
      <c r="C87" s="79">
        <v>5833</v>
      </c>
      <c r="D87" s="79">
        <v>48603.76</v>
      </c>
      <c r="E87" s="79">
        <v>23333</v>
      </c>
      <c r="F87" s="80">
        <v>2.0830000000000002</v>
      </c>
      <c r="G87" s="79">
        <v>70000</v>
      </c>
      <c r="H87" s="80">
        <v>0.69430000000000003</v>
      </c>
    </row>
    <row r="88" spans="1:8" ht="30" customHeight="1">
      <c r="A88" s="71" t="s">
        <v>506</v>
      </c>
      <c r="B88" s="77">
        <v>2180.5</v>
      </c>
      <c r="C88" s="77">
        <v>3166</v>
      </c>
      <c r="D88" s="77">
        <v>16675.5</v>
      </c>
      <c r="E88" s="77">
        <v>12666</v>
      </c>
      <c r="F88" s="78">
        <v>1.3165</v>
      </c>
      <c r="G88" s="77">
        <v>38000</v>
      </c>
      <c r="H88" s="78">
        <v>0.43880000000000002</v>
      </c>
    </row>
    <row r="89" spans="1:8" ht="30" customHeight="1">
      <c r="A89" s="71" t="s">
        <v>507</v>
      </c>
      <c r="B89" s="87"/>
      <c r="C89" s="87"/>
      <c r="D89" s="87"/>
      <c r="E89" s="87"/>
      <c r="F89" s="87"/>
      <c r="G89" s="87"/>
      <c r="H89" s="87"/>
    </row>
    <row r="90" spans="1:8" ht="30" customHeight="1">
      <c r="A90" s="71" t="s">
        <v>508</v>
      </c>
      <c r="B90" s="77">
        <v>0</v>
      </c>
      <c r="C90" s="77">
        <v>625</v>
      </c>
      <c r="D90" s="77">
        <v>398.81</v>
      </c>
      <c r="E90" s="77">
        <v>2500</v>
      </c>
      <c r="F90" s="78">
        <v>0.1595</v>
      </c>
      <c r="G90" s="77">
        <v>7500</v>
      </c>
      <c r="H90" s="78">
        <v>5.3100000000000001E-2</v>
      </c>
    </row>
    <row r="91" spans="1:8" ht="30" customHeight="1">
      <c r="A91" s="71" t="s">
        <v>509</v>
      </c>
      <c r="B91" s="79">
        <v>2247.77</v>
      </c>
      <c r="C91" s="79">
        <v>0</v>
      </c>
      <c r="D91" s="79">
        <v>5556.6</v>
      </c>
      <c r="E91" s="79">
        <v>0</v>
      </c>
      <c r="F91" s="80">
        <v>55.566000000000003</v>
      </c>
      <c r="G91" s="79">
        <v>0</v>
      </c>
      <c r="H91" s="80">
        <v>55.566000000000003</v>
      </c>
    </row>
    <row r="92" spans="1:8" ht="30" customHeight="1">
      <c r="A92" s="71" t="s">
        <v>510</v>
      </c>
      <c r="B92" s="77">
        <v>16272.46</v>
      </c>
      <c r="C92" s="77">
        <v>5000</v>
      </c>
      <c r="D92" s="77">
        <v>28993.03</v>
      </c>
      <c r="E92" s="77">
        <v>20000</v>
      </c>
      <c r="F92" s="78">
        <v>1.4496</v>
      </c>
      <c r="G92" s="77">
        <v>60000</v>
      </c>
      <c r="H92" s="78">
        <v>0.48320000000000002</v>
      </c>
    </row>
    <row r="93" spans="1:8" ht="30" customHeight="1">
      <c r="A93" s="71" t="s">
        <v>511</v>
      </c>
      <c r="B93" s="79">
        <v>1019.86</v>
      </c>
      <c r="C93" s="79">
        <v>1666</v>
      </c>
      <c r="D93" s="79">
        <v>7034.41</v>
      </c>
      <c r="E93" s="79">
        <v>6666</v>
      </c>
      <c r="F93" s="80">
        <v>1.0551999999999999</v>
      </c>
      <c r="G93" s="79">
        <v>20000</v>
      </c>
      <c r="H93" s="80">
        <v>0.35170000000000001</v>
      </c>
    </row>
    <row r="94" spans="1:8" ht="30" customHeight="1">
      <c r="A94" s="71" t="s">
        <v>512</v>
      </c>
      <c r="B94" s="77">
        <v>0</v>
      </c>
      <c r="C94" s="77">
        <v>833</v>
      </c>
      <c r="D94" s="77">
        <v>12356.64</v>
      </c>
      <c r="E94" s="77">
        <v>3333</v>
      </c>
      <c r="F94" s="78">
        <v>3.7073</v>
      </c>
      <c r="G94" s="77">
        <v>10000</v>
      </c>
      <c r="H94" s="78">
        <v>1.2356</v>
      </c>
    </row>
    <row r="95" spans="1:8" ht="30" customHeight="1">
      <c r="A95" s="71" t="s">
        <v>513</v>
      </c>
      <c r="B95" s="81">
        <v>93.54</v>
      </c>
      <c r="C95" s="81">
        <v>0</v>
      </c>
      <c r="D95" s="81">
        <v>761.54</v>
      </c>
      <c r="E95" s="79">
        <v>0</v>
      </c>
      <c r="F95" s="80">
        <v>7.6154000000000002</v>
      </c>
      <c r="G95" s="79">
        <v>0</v>
      </c>
      <c r="H95" s="80">
        <v>7.6154000000000002</v>
      </c>
    </row>
    <row r="96" spans="1:8" ht="30" customHeight="1">
      <c r="A96" s="71" t="s">
        <v>514</v>
      </c>
      <c r="B96" s="81">
        <v>836.33</v>
      </c>
      <c r="C96" s="81">
        <v>0</v>
      </c>
      <c r="D96" s="81">
        <v>1672.66</v>
      </c>
      <c r="E96" s="77">
        <v>0</v>
      </c>
      <c r="F96" s="78">
        <v>16.726600000000001</v>
      </c>
      <c r="G96" s="77">
        <v>0</v>
      </c>
      <c r="H96" s="78">
        <v>16.726600000000001</v>
      </c>
    </row>
    <row r="97" spans="1:11" ht="30" customHeight="1">
      <c r="A97" s="71" t="s">
        <v>515</v>
      </c>
      <c r="B97" s="81">
        <v>167</v>
      </c>
      <c r="C97" s="81">
        <v>0</v>
      </c>
      <c r="D97" s="81">
        <v>2235.75</v>
      </c>
      <c r="E97" s="79">
        <v>0</v>
      </c>
      <c r="F97" s="80">
        <v>22.357500000000002</v>
      </c>
      <c r="G97" s="79">
        <v>0</v>
      </c>
      <c r="H97" s="80">
        <v>22.357500000000002</v>
      </c>
    </row>
    <row r="98" spans="1:11" ht="30" customHeight="1">
      <c r="A98" s="71" t="s">
        <v>516</v>
      </c>
      <c r="B98" s="81">
        <v>146.82</v>
      </c>
      <c r="C98" s="81">
        <v>0</v>
      </c>
      <c r="D98" s="81">
        <v>511964.55</v>
      </c>
      <c r="E98" s="77">
        <v>0</v>
      </c>
      <c r="F98" s="78">
        <v>5119.6454999999996</v>
      </c>
      <c r="G98" s="77">
        <v>0</v>
      </c>
      <c r="H98" s="78">
        <v>5119.6454999999996</v>
      </c>
    </row>
    <row r="99" spans="1:11" ht="30" customHeight="1">
      <c r="A99" s="74" t="s">
        <v>517</v>
      </c>
      <c r="B99" s="75">
        <v>711280.13</v>
      </c>
      <c r="C99" s="75">
        <v>68129</v>
      </c>
      <c r="D99" s="75">
        <v>3816397.85</v>
      </c>
      <c r="E99" s="75">
        <v>218343</v>
      </c>
      <c r="F99" s="76">
        <v>17.478899999999999</v>
      </c>
      <c r="G99" s="75">
        <v>634797</v>
      </c>
      <c r="H99" s="76">
        <v>6.0118999999999998</v>
      </c>
      <c r="K99" s="93">
        <f>+D99-D116</f>
        <v>221010.20999999996</v>
      </c>
    </row>
    <row r="100" spans="1:11" ht="30" customHeight="1">
      <c r="A100" s="71" t="s">
        <v>518</v>
      </c>
      <c r="B100" s="72"/>
      <c r="C100" s="72"/>
      <c r="D100" s="72"/>
      <c r="E100" s="72"/>
      <c r="F100" s="72"/>
      <c r="G100" s="72"/>
      <c r="H100" s="72"/>
    </row>
    <row r="101" spans="1:11" ht="30" customHeight="1">
      <c r="A101" s="71" t="s">
        <v>519</v>
      </c>
      <c r="B101" s="79">
        <v>46172.97</v>
      </c>
      <c r="C101" s="79">
        <v>46929</v>
      </c>
      <c r="D101" s="79">
        <v>144914.6</v>
      </c>
      <c r="E101" s="79">
        <v>140787</v>
      </c>
      <c r="F101" s="80">
        <v>1.0293000000000001</v>
      </c>
      <c r="G101" s="79">
        <v>406712</v>
      </c>
      <c r="H101" s="80">
        <v>0.35630000000000001</v>
      </c>
    </row>
    <row r="102" spans="1:11" ht="30" customHeight="1">
      <c r="A102" s="71" t="s">
        <v>520</v>
      </c>
      <c r="B102" s="77">
        <v>1790.67</v>
      </c>
      <c r="C102" s="77">
        <v>998</v>
      </c>
      <c r="D102" s="77">
        <v>5511.11</v>
      </c>
      <c r="E102" s="77">
        <v>2993</v>
      </c>
      <c r="F102" s="78">
        <v>1.8412999999999999</v>
      </c>
      <c r="G102" s="77">
        <v>8650</v>
      </c>
      <c r="H102" s="78">
        <v>0.6371</v>
      </c>
    </row>
    <row r="103" spans="1:11" ht="30" customHeight="1">
      <c r="A103" s="71" t="s">
        <v>521</v>
      </c>
      <c r="B103" s="79">
        <v>4158.96</v>
      </c>
      <c r="C103" s="79">
        <v>4050</v>
      </c>
      <c r="D103" s="79">
        <v>12424.53</v>
      </c>
      <c r="E103" s="79">
        <v>12150</v>
      </c>
      <c r="F103" s="80">
        <v>1.0225</v>
      </c>
      <c r="G103" s="79">
        <v>35098</v>
      </c>
      <c r="H103" s="80">
        <v>0.35389999999999999</v>
      </c>
    </row>
    <row r="104" spans="1:11" ht="30" customHeight="1">
      <c r="A104" s="71" t="s">
        <v>522</v>
      </c>
      <c r="B104" s="77">
        <v>1696.58</v>
      </c>
      <c r="C104" s="77">
        <v>7576</v>
      </c>
      <c r="D104" s="77">
        <v>30475.95</v>
      </c>
      <c r="E104" s="77">
        <v>30304</v>
      </c>
      <c r="F104" s="78">
        <v>1.0056</v>
      </c>
      <c r="G104" s="77">
        <v>90912</v>
      </c>
      <c r="H104" s="78">
        <v>0.3352</v>
      </c>
    </row>
    <row r="105" spans="1:11" ht="30" customHeight="1">
      <c r="A105" s="71" t="s">
        <v>523</v>
      </c>
      <c r="B105" s="79">
        <v>564.38</v>
      </c>
      <c r="C105" s="79">
        <v>510</v>
      </c>
      <c r="D105" s="79">
        <v>1720.03</v>
      </c>
      <c r="E105" s="79">
        <v>1530</v>
      </c>
      <c r="F105" s="80">
        <v>1.1242000000000001</v>
      </c>
      <c r="G105" s="79">
        <v>4419</v>
      </c>
      <c r="H105" s="80">
        <v>0.38919999999999999</v>
      </c>
    </row>
    <row r="106" spans="1:11" ht="30" customHeight="1">
      <c r="A106" s="71" t="s">
        <v>524</v>
      </c>
      <c r="B106" s="77">
        <v>0</v>
      </c>
      <c r="C106" s="77">
        <v>41</v>
      </c>
      <c r="D106" s="77">
        <v>74.760000000000005</v>
      </c>
      <c r="E106" s="77">
        <v>166</v>
      </c>
      <c r="F106" s="78">
        <v>0.45029999999999998</v>
      </c>
      <c r="G106" s="77">
        <v>500</v>
      </c>
      <c r="H106" s="78">
        <v>0.14949999999999999</v>
      </c>
    </row>
    <row r="107" spans="1:11" ht="30" customHeight="1">
      <c r="A107" s="71" t="s">
        <v>525</v>
      </c>
      <c r="B107" s="79">
        <v>0</v>
      </c>
      <c r="C107" s="79">
        <v>61</v>
      </c>
      <c r="D107" s="79">
        <v>72.08</v>
      </c>
      <c r="E107" s="79">
        <v>187</v>
      </c>
      <c r="F107" s="80">
        <v>0.38540000000000002</v>
      </c>
      <c r="G107" s="79">
        <v>541</v>
      </c>
      <c r="H107" s="80">
        <v>0.13320000000000001</v>
      </c>
    </row>
    <row r="108" spans="1:11" ht="30" customHeight="1">
      <c r="A108" s="71" t="s">
        <v>526</v>
      </c>
      <c r="B108" s="91">
        <f>SUM(B101:B107)</f>
        <v>54383.56</v>
      </c>
      <c r="C108" s="72"/>
      <c r="D108" s="72"/>
      <c r="E108" s="72"/>
      <c r="F108" s="72"/>
      <c r="G108" s="72"/>
      <c r="H108" s="72"/>
    </row>
    <row r="109" spans="1:11" ht="30" customHeight="1">
      <c r="A109" s="71" t="s">
        <v>527</v>
      </c>
      <c r="B109" s="79">
        <v>1981.18</v>
      </c>
      <c r="C109" s="79">
        <v>1000</v>
      </c>
      <c r="D109" s="79">
        <v>3581.73</v>
      </c>
      <c r="E109" s="79">
        <v>2500</v>
      </c>
      <c r="F109" s="80">
        <v>1.4326000000000001</v>
      </c>
      <c r="G109" s="79">
        <v>5000</v>
      </c>
      <c r="H109" s="80">
        <v>0.71630000000000005</v>
      </c>
    </row>
    <row r="110" spans="1:11" ht="30" customHeight="1">
      <c r="A110" s="71" t="s">
        <v>528</v>
      </c>
      <c r="B110" s="77">
        <v>171.78</v>
      </c>
      <c r="C110" s="77">
        <v>90</v>
      </c>
      <c r="D110" s="77">
        <v>281.98</v>
      </c>
      <c r="E110" s="77">
        <v>225</v>
      </c>
      <c r="F110" s="78">
        <v>1.2532000000000001</v>
      </c>
      <c r="G110" s="77">
        <v>450</v>
      </c>
      <c r="H110" s="78">
        <v>0.62660000000000005</v>
      </c>
    </row>
    <row r="111" spans="1:11" ht="30" customHeight="1">
      <c r="A111" s="71" t="s">
        <v>529</v>
      </c>
      <c r="B111" s="79">
        <v>0</v>
      </c>
      <c r="C111" s="79">
        <v>2</v>
      </c>
      <c r="D111" s="79">
        <v>0.9</v>
      </c>
      <c r="E111" s="79">
        <v>5</v>
      </c>
      <c r="F111" s="80">
        <v>0.18</v>
      </c>
      <c r="G111" s="79">
        <v>15</v>
      </c>
      <c r="H111" s="80">
        <v>0.06</v>
      </c>
    </row>
    <row r="112" spans="1:11" ht="30" customHeight="1">
      <c r="A112" s="71" t="s">
        <v>507</v>
      </c>
      <c r="B112" s="72"/>
      <c r="C112" s="72"/>
      <c r="D112" s="72"/>
      <c r="E112" s="72"/>
      <c r="F112" s="72"/>
      <c r="G112" s="72"/>
      <c r="H112" s="72"/>
    </row>
    <row r="113" spans="1:11" ht="30" customHeight="1">
      <c r="A113" s="71" t="s">
        <v>530</v>
      </c>
      <c r="B113" s="79">
        <v>0</v>
      </c>
      <c r="C113" s="79">
        <v>5830</v>
      </c>
      <c r="D113" s="79">
        <v>18932.689999999999</v>
      </c>
      <c r="E113" s="79">
        <v>23330</v>
      </c>
      <c r="F113" s="80">
        <v>0.8115</v>
      </c>
      <c r="G113" s="79">
        <v>70000</v>
      </c>
      <c r="H113" s="80">
        <v>0.27039999999999997</v>
      </c>
    </row>
    <row r="114" spans="1:11" ht="30" customHeight="1">
      <c r="A114" s="71" t="s">
        <v>531</v>
      </c>
      <c r="B114" s="77">
        <v>0</v>
      </c>
      <c r="C114" s="77">
        <v>625</v>
      </c>
      <c r="D114" s="77">
        <v>0</v>
      </c>
      <c r="E114" s="77">
        <v>2500</v>
      </c>
      <c r="F114" s="78">
        <v>0</v>
      </c>
      <c r="G114" s="77">
        <v>7500</v>
      </c>
      <c r="H114" s="78">
        <v>0</v>
      </c>
    </row>
    <row r="115" spans="1:11" ht="30" customHeight="1">
      <c r="A115" s="71" t="s">
        <v>532</v>
      </c>
      <c r="B115" s="79">
        <v>214</v>
      </c>
      <c r="C115" s="79">
        <v>417</v>
      </c>
      <c r="D115" s="79">
        <v>3019.85</v>
      </c>
      <c r="E115" s="79">
        <v>1666</v>
      </c>
      <c r="F115" s="80">
        <v>1.8126</v>
      </c>
      <c r="G115" s="79">
        <v>5000</v>
      </c>
      <c r="H115" s="80">
        <v>0.60389999999999999</v>
      </c>
    </row>
    <row r="116" spans="1:11" ht="30" customHeight="1">
      <c r="A116" s="71" t="s">
        <v>533</v>
      </c>
      <c r="B116" s="81">
        <v>654529.61</v>
      </c>
      <c r="C116" s="81">
        <v>0</v>
      </c>
      <c r="D116" s="81">
        <v>3595387.64</v>
      </c>
      <c r="E116" s="77">
        <v>0</v>
      </c>
      <c r="F116" s="78">
        <v>35953.876400000001</v>
      </c>
      <c r="G116" s="77">
        <v>0</v>
      </c>
      <c r="H116" s="78">
        <v>35953.876400000001</v>
      </c>
    </row>
    <row r="117" spans="1:11" ht="30" customHeight="1">
      <c r="A117" s="74" t="s">
        <v>534</v>
      </c>
      <c r="B117" s="75">
        <v>331547.98</v>
      </c>
      <c r="C117" s="75">
        <v>386593</v>
      </c>
      <c r="D117" s="75">
        <v>1318518.1499999999</v>
      </c>
      <c r="E117" s="75">
        <v>1227382</v>
      </c>
      <c r="F117" s="76">
        <v>1.0742</v>
      </c>
      <c r="G117" s="75">
        <v>3349211</v>
      </c>
      <c r="H117" s="76">
        <v>0.39360000000000001</v>
      </c>
      <c r="K117" s="93">
        <f>+D117-D157</f>
        <v>1231782.7999999998</v>
      </c>
    </row>
    <row r="118" spans="1:11" ht="30" customHeight="1">
      <c r="A118" s="71" t="s">
        <v>518</v>
      </c>
      <c r="B118" s="72"/>
      <c r="C118" s="72"/>
      <c r="D118" s="72"/>
      <c r="E118" s="72"/>
      <c r="F118" s="72"/>
      <c r="G118" s="72"/>
      <c r="H118" s="72"/>
    </row>
    <row r="119" spans="1:11" ht="30" customHeight="1">
      <c r="A119" s="71" t="s">
        <v>535</v>
      </c>
      <c r="B119" s="79">
        <v>124673.17</v>
      </c>
      <c r="C119" s="79">
        <v>129519</v>
      </c>
      <c r="D119" s="79">
        <v>383664.78</v>
      </c>
      <c r="E119" s="79">
        <v>388557</v>
      </c>
      <c r="F119" s="80">
        <v>0.98740000000000006</v>
      </c>
      <c r="G119" s="79">
        <v>1122499</v>
      </c>
      <c r="H119" s="80">
        <v>0.3417</v>
      </c>
    </row>
    <row r="120" spans="1:11" ht="30" customHeight="1">
      <c r="A120" s="71" t="s">
        <v>536</v>
      </c>
      <c r="B120" s="77">
        <v>16958.28</v>
      </c>
      <c r="C120" s="77">
        <v>17409</v>
      </c>
      <c r="D120" s="77">
        <v>72465.179999999993</v>
      </c>
      <c r="E120" s="77">
        <v>52224</v>
      </c>
      <c r="F120" s="78">
        <v>1.3875</v>
      </c>
      <c r="G120" s="77">
        <v>150872</v>
      </c>
      <c r="H120" s="78">
        <v>0.4803</v>
      </c>
    </row>
    <row r="121" spans="1:11" ht="30" customHeight="1">
      <c r="A121" s="71" t="s">
        <v>537</v>
      </c>
      <c r="B121" s="79">
        <v>12080</v>
      </c>
      <c r="C121" s="79">
        <v>12832</v>
      </c>
      <c r="D121" s="79">
        <v>21900</v>
      </c>
      <c r="E121" s="79">
        <v>38496</v>
      </c>
      <c r="F121" s="80">
        <v>0.56879999999999997</v>
      </c>
      <c r="G121" s="79">
        <v>80200</v>
      </c>
      <c r="H121" s="80">
        <v>0.27300000000000002</v>
      </c>
    </row>
    <row r="122" spans="1:11" ht="30" customHeight="1">
      <c r="A122" s="71" t="s">
        <v>538</v>
      </c>
      <c r="B122" s="77">
        <v>16445</v>
      </c>
      <c r="C122" s="77">
        <v>12680</v>
      </c>
      <c r="D122" s="77">
        <v>25870</v>
      </c>
      <c r="E122" s="77">
        <v>38040</v>
      </c>
      <c r="F122" s="78">
        <v>0.68</v>
      </c>
      <c r="G122" s="77">
        <v>79250</v>
      </c>
      <c r="H122" s="78">
        <v>0.32640000000000002</v>
      </c>
    </row>
    <row r="123" spans="1:11" ht="30" customHeight="1">
      <c r="A123" s="71" t="s">
        <v>539</v>
      </c>
      <c r="B123" s="79">
        <v>2772.84</v>
      </c>
      <c r="C123" s="79">
        <v>1250</v>
      </c>
      <c r="D123" s="79">
        <v>8818.41</v>
      </c>
      <c r="E123" s="79">
        <v>5000</v>
      </c>
      <c r="F123" s="80">
        <v>1.7636000000000001</v>
      </c>
      <c r="G123" s="79">
        <v>15000</v>
      </c>
      <c r="H123" s="80">
        <v>0.58779999999999999</v>
      </c>
    </row>
    <row r="124" spans="1:11" ht="30" customHeight="1">
      <c r="A124" s="71" t="s">
        <v>540</v>
      </c>
      <c r="B124" s="77">
        <v>14995.26</v>
      </c>
      <c r="C124" s="77">
        <v>14090</v>
      </c>
      <c r="D124" s="77">
        <v>42380.52</v>
      </c>
      <c r="E124" s="77">
        <v>42275</v>
      </c>
      <c r="F124" s="78">
        <v>1.0024</v>
      </c>
      <c r="G124" s="77">
        <v>122131</v>
      </c>
      <c r="H124" s="78">
        <v>0.34699999999999998</v>
      </c>
    </row>
    <row r="125" spans="1:11" ht="30" customHeight="1">
      <c r="A125" s="71" t="s">
        <v>541</v>
      </c>
      <c r="B125" s="79">
        <v>2555.65</v>
      </c>
      <c r="C125" s="79">
        <v>43442</v>
      </c>
      <c r="D125" s="79">
        <v>125549.35</v>
      </c>
      <c r="E125" s="79">
        <v>130328</v>
      </c>
      <c r="F125" s="80">
        <v>0.96330000000000005</v>
      </c>
      <c r="G125" s="79">
        <v>376502</v>
      </c>
      <c r="H125" s="80">
        <v>0.33339999999999997</v>
      </c>
    </row>
    <row r="126" spans="1:11" ht="30" customHeight="1">
      <c r="A126" s="71" t="s">
        <v>542</v>
      </c>
      <c r="B126" s="77">
        <v>20591.099999999999</v>
      </c>
      <c r="C126" s="77">
        <v>21663</v>
      </c>
      <c r="D126" s="77">
        <v>76060.53</v>
      </c>
      <c r="E126" s="77">
        <v>64989</v>
      </c>
      <c r="F126" s="78">
        <v>1.1702999999999999</v>
      </c>
      <c r="G126" s="77">
        <v>187744</v>
      </c>
      <c r="H126" s="78">
        <v>0.40510000000000002</v>
      </c>
    </row>
    <row r="127" spans="1:11" ht="30" customHeight="1">
      <c r="A127" s="71" t="s">
        <v>543</v>
      </c>
      <c r="B127" s="79">
        <v>1912.74</v>
      </c>
      <c r="C127" s="79">
        <v>1250</v>
      </c>
      <c r="D127" s="79">
        <v>11738.28</v>
      </c>
      <c r="E127" s="79">
        <v>5000</v>
      </c>
      <c r="F127" s="80">
        <v>2.3475999999999999</v>
      </c>
      <c r="G127" s="79">
        <v>15000</v>
      </c>
      <c r="H127" s="80">
        <v>0.78249999999999997</v>
      </c>
    </row>
    <row r="128" spans="1:11" ht="30" customHeight="1">
      <c r="A128" s="71" t="s">
        <v>544</v>
      </c>
      <c r="B128" s="77">
        <v>0</v>
      </c>
      <c r="C128" s="77">
        <v>5697</v>
      </c>
      <c r="D128" s="77">
        <v>7655.2</v>
      </c>
      <c r="E128" s="77">
        <v>17091</v>
      </c>
      <c r="F128" s="78">
        <v>0.44790000000000002</v>
      </c>
      <c r="G128" s="77">
        <v>49371</v>
      </c>
      <c r="H128" s="78">
        <v>0.155</v>
      </c>
    </row>
    <row r="129" spans="1:8" ht="30" customHeight="1">
      <c r="A129" s="71" t="s">
        <v>545</v>
      </c>
      <c r="B129" s="87"/>
      <c r="C129" s="87"/>
      <c r="D129" s="87"/>
      <c r="E129" s="87"/>
      <c r="F129" s="87"/>
      <c r="G129" s="87"/>
      <c r="H129" s="87"/>
    </row>
    <row r="130" spans="1:8" ht="30" customHeight="1">
      <c r="A130" s="71" t="s">
        <v>546</v>
      </c>
      <c r="B130" s="77">
        <v>32443.439999999999</v>
      </c>
      <c r="C130" s="77">
        <v>35833</v>
      </c>
      <c r="D130" s="77">
        <v>108194.5</v>
      </c>
      <c r="E130" s="77">
        <v>107498</v>
      </c>
      <c r="F130" s="78">
        <v>1.0064</v>
      </c>
      <c r="G130" s="77">
        <v>310549</v>
      </c>
      <c r="H130" s="78">
        <v>0.3483</v>
      </c>
    </row>
    <row r="131" spans="1:8" ht="30" customHeight="1">
      <c r="A131" s="71" t="s">
        <v>547</v>
      </c>
      <c r="B131" s="79">
        <v>6129.55</v>
      </c>
      <c r="C131" s="79">
        <v>5140</v>
      </c>
      <c r="D131" s="79">
        <v>14527.11</v>
      </c>
      <c r="E131" s="79">
        <v>15421</v>
      </c>
      <c r="F131" s="80">
        <v>0.94199999999999995</v>
      </c>
      <c r="G131" s="79">
        <v>44549</v>
      </c>
      <c r="H131" s="80">
        <v>0.32600000000000001</v>
      </c>
    </row>
    <row r="132" spans="1:8" ht="30" customHeight="1">
      <c r="A132" s="71" t="s">
        <v>548</v>
      </c>
      <c r="B132" s="77">
        <v>3345.03</v>
      </c>
      <c r="C132" s="77">
        <v>3462</v>
      </c>
      <c r="D132" s="77">
        <v>10148.75</v>
      </c>
      <c r="E132" s="77">
        <v>10386</v>
      </c>
      <c r="F132" s="78">
        <v>0.97709999999999997</v>
      </c>
      <c r="G132" s="77">
        <v>30006</v>
      </c>
      <c r="H132" s="78">
        <v>0.3382</v>
      </c>
    </row>
    <row r="133" spans="1:8" ht="30" customHeight="1">
      <c r="A133" s="71" t="s">
        <v>549</v>
      </c>
      <c r="B133" s="79">
        <v>496.17</v>
      </c>
      <c r="C133" s="79">
        <v>13372</v>
      </c>
      <c r="D133" s="79">
        <v>40655.53</v>
      </c>
      <c r="E133" s="79">
        <v>53487</v>
      </c>
      <c r="F133" s="80">
        <v>0.7601</v>
      </c>
      <c r="G133" s="79">
        <v>160457</v>
      </c>
      <c r="H133" s="80">
        <v>0.25330000000000003</v>
      </c>
    </row>
    <row r="134" spans="1:8" ht="30" customHeight="1">
      <c r="A134" s="71" t="s">
        <v>550</v>
      </c>
      <c r="B134" s="77">
        <v>846.03</v>
      </c>
      <c r="C134" s="77">
        <v>918</v>
      </c>
      <c r="D134" s="77">
        <v>2700.08</v>
      </c>
      <c r="E134" s="77">
        <v>2754</v>
      </c>
      <c r="F134" s="78">
        <v>0.98040000000000005</v>
      </c>
      <c r="G134" s="77">
        <v>7954</v>
      </c>
      <c r="H134" s="78">
        <v>0.33939999999999998</v>
      </c>
    </row>
    <row r="135" spans="1:8" ht="30" customHeight="1">
      <c r="A135" s="71" t="s">
        <v>551</v>
      </c>
      <c r="B135" s="79">
        <v>0</v>
      </c>
      <c r="C135" s="79">
        <v>167</v>
      </c>
      <c r="D135" s="79">
        <v>80</v>
      </c>
      <c r="E135" s="79">
        <v>668</v>
      </c>
      <c r="F135" s="80">
        <v>0.1197</v>
      </c>
      <c r="G135" s="79">
        <v>2000</v>
      </c>
      <c r="H135" s="80">
        <v>0.04</v>
      </c>
    </row>
    <row r="136" spans="1:8" ht="30" customHeight="1">
      <c r="A136" s="71" t="s">
        <v>552</v>
      </c>
      <c r="B136" s="77">
        <v>0</v>
      </c>
      <c r="C136" s="77">
        <v>53</v>
      </c>
      <c r="D136" s="77">
        <v>63.5</v>
      </c>
      <c r="E136" s="77">
        <v>160</v>
      </c>
      <c r="F136" s="78">
        <v>0.39679999999999999</v>
      </c>
      <c r="G136" s="77">
        <v>462</v>
      </c>
      <c r="H136" s="78">
        <v>0.13739999999999999</v>
      </c>
    </row>
    <row r="137" spans="1:8" ht="30" customHeight="1">
      <c r="A137" s="71" t="s">
        <v>526</v>
      </c>
      <c r="B137" s="87"/>
      <c r="C137" s="87"/>
      <c r="D137" s="87"/>
      <c r="E137" s="87"/>
      <c r="F137" s="87"/>
      <c r="G137" s="87"/>
      <c r="H137" s="87"/>
    </row>
    <row r="138" spans="1:8" ht="30" customHeight="1">
      <c r="A138" s="71" t="s">
        <v>553</v>
      </c>
      <c r="B138" s="77">
        <v>57728.51</v>
      </c>
      <c r="C138" s="77">
        <v>34350</v>
      </c>
      <c r="D138" s="77">
        <v>133182.43</v>
      </c>
      <c r="E138" s="77">
        <v>91500</v>
      </c>
      <c r="F138" s="78">
        <v>1.4555</v>
      </c>
      <c r="G138" s="77">
        <v>171500</v>
      </c>
      <c r="H138" s="78">
        <v>0.77649999999999997</v>
      </c>
    </row>
    <row r="139" spans="1:8" ht="30" customHeight="1">
      <c r="A139" s="71" t="s">
        <v>554</v>
      </c>
      <c r="B139" s="79">
        <v>4362.9399999999996</v>
      </c>
      <c r="C139" s="79">
        <v>1400</v>
      </c>
      <c r="D139" s="79">
        <v>6875.86</v>
      </c>
      <c r="E139" s="79">
        <v>3733</v>
      </c>
      <c r="F139" s="80">
        <v>1.8419000000000001</v>
      </c>
      <c r="G139" s="79">
        <v>7000</v>
      </c>
      <c r="H139" s="80">
        <v>0.98219999999999996</v>
      </c>
    </row>
    <row r="140" spans="1:8" ht="30" customHeight="1">
      <c r="A140" s="71" t="s">
        <v>555</v>
      </c>
      <c r="B140" s="77">
        <v>5384.37</v>
      </c>
      <c r="C140" s="77">
        <v>2140</v>
      </c>
      <c r="D140" s="77">
        <v>12067.44</v>
      </c>
      <c r="E140" s="77">
        <v>8575</v>
      </c>
      <c r="F140" s="78">
        <v>1.4072</v>
      </c>
      <c r="G140" s="77">
        <v>16065</v>
      </c>
      <c r="H140" s="78">
        <v>0.75109999999999999</v>
      </c>
    </row>
    <row r="141" spans="1:8" ht="30" customHeight="1">
      <c r="A141" s="71" t="s">
        <v>556</v>
      </c>
      <c r="B141" s="79">
        <v>0</v>
      </c>
      <c r="C141" s="79">
        <v>0</v>
      </c>
      <c r="D141" s="79">
        <v>9540.58</v>
      </c>
      <c r="E141" s="79">
        <v>4500</v>
      </c>
      <c r="F141" s="80">
        <v>2.1200999999999999</v>
      </c>
      <c r="G141" s="79">
        <v>9000</v>
      </c>
      <c r="H141" s="80">
        <v>1.06</v>
      </c>
    </row>
    <row r="142" spans="1:8" ht="30" customHeight="1">
      <c r="A142" s="71" t="s">
        <v>557</v>
      </c>
      <c r="B142" s="77">
        <v>0</v>
      </c>
      <c r="C142" s="77">
        <v>508</v>
      </c>
      <c r="D142" s="77">
        <v>1117.9000000000001</v>
      </c>
      <c r="E142" s="77">
        <v>2032</v>
      </c>
      <c r="F142" s="78">
        <v>0.55010000000000003</v>
      </c>
      <c r="G142" s="77">
        <v>6100</v>
      </c>
      <c r="H142" s="78">
        <v>0.1832</v>
      </c>
    </row>
    <row r="143" spans="1:8" ht="30" customHeight="1">
      <c r="A143" s="71" t="s">
        <v>558</v>
      </c>
      <c r="B143" s="79">
        <v>0</v>
      </c>
      <c r="C143" s="79">
        <v>0</v>
      </c>
      <c r="D143" s="79">
        <v>6240</v>
      </c>
      <c r="E143" s="79">
        <v>20000</v>
      </c>
      <c r="F143" s="80">
        <v>0.312</v>
      </c>
      <c r="G143" s="79">
        <v>25000</v>
      </c>
      <c r="H143" s="80">
        <v>0.24959999999999999</v>
      </c>
    </row>
    <row r="144" spans="1:8" ht="30" customHeight="1">
      <c r="A144" s="71" t="s">
        <v>507</v>
      </c>
      <c r="B144" s="72"/>
      <c r="C144" s="72"/>
      <c r="D144" s="72"/>
      <c r="E144" s="72"/>
      <c r="F144" s="72"/>
      <c r="G144" s="72"/>
      <c r="H144" s="72"/>
    </row>
    <row r="145" spans="1:11" ht="30" customHeight="1">
      <c r="A145" s="71" t="s">
        <v>559</v>
      </c>
      <c r="B145" s="79">
        <v>0</v>
      </c>
      <c r="C145" s="79">
        <v>0</v>
      </c>
      <c r="D145" s="79">
        <v>4760</v>
      </c>
      <c r="E145" s="79">
        <v>5000</v>
      </c>
      <c r="F145" s="80">
        <v>0.95199999999999996</v>
      </c>
      <c r="G145" s="79">
        <v>5000</v>
      </c>
      <c r="H145" s="80">
        <v>0.95199999999999996</v>
      </c>
    </row>
    <row r="146" spans="1:11" ht="30" customHeight="1">
      <c r="A146" s="71" t="s">
        <v>560</v>
      </c>
      <c r="B146" s="77">
        <v>0</v>
      </c>
      <c r="C146" s="77">
        <v>12500</v>
      </c>
      <c r="D146" s="77">
        <v>36354.959999999999</v>
      </c>
      <c r="E146" s="77">
        <v>50000</v>
      </c>
      <c r="F146" s="78">
        <v>0.72699999999999998</v>
      </c>
      <c r="G146" s="77">
        <v>150000</v>
      </c>
      <c r="H146" s="78">
        <v>0.24229999999999999</v>
      </c>
    </row>
    <row r="147" spans="1:11" ht="30" customHeight="1">
      <c r="A147" s="71" t="s">
        <v>561</v>
      </c>
      <c r="B147" s="79">
        <v>400</v>
      </c>
      <c r="C147" s="79">
        <v>9167</v>
      </c>
      <c r="D147" s="79">
        <v>31052.44</v>
      </c>
      <c r="E147" s="79">
        <v>36667</v>
      </c>
      <c r="F147" s="80">
        <v>0.8468</v>
      </c>
      <c r="G147" s="79">
        <v>110000</v>
      </c>
      <c r="H147" s="80">
        <v>0.28220000000000001</v>
      </c>
    </row>
    <row r="148" spans="1:11" ht="30" customHeight="1">
      <c r="A148" s="71" t="s">
        <v>562</v>
      </c>
      <c r="B148" s="77">
        <v>0</v>
      </c>
      <c r="C148" s="77">
        <v>1667</v>
      </c>
      <c r="D148" s="77">
        <v>0</v>
      </c>
      <c r="E148" s="77">
        <v>6667</v>
      </c>
      <c r="F148" s="78">
        <v>0</v>
      </c>
      <c r="G148" s="77">
        <v>20000</v>
      </c>
      <c r="H148" s="78">
        <v>0</v>
      </c>
    </row>
    <row r="149" spans="1:11" ht="30" customHeight="1">
      <c r="A149" s="71" t="s">
        <v>563</v>
      </c>
      <c r="B149" s="79">
        <v>0</v>
      </c>
      <c r="C149" s="79">
        <v>167</v>
      </c>
      <c r="D149" s="79">
        <v>0</v>
      </c>
      <c r="E149" s="79">
        <v>667</v>
      </c>
      <c r="F149" s="80">
        <v>0</v>
      </c>
      <c r="G149" s="79">
        <v>2000</v>
      </c>
      <c r="H149" s="80">
        <v>0</v>
      </c>
    </row>
    <row r="150" spans="1:11" ht="30" customHeight="1">
      <c r="A150" s="71" t="s">
        <v>564</v>
      </c>
      <c r="B150" s="77">
        <v>0</v>
      </c>
      <c r="C150" s="77">
        <v>0</v>
      </c>
      <c r="D150" s="77">
        <v>904</v>
      </c>
      <c r="E150" s="77">
        <v>2000</v>
      </c>
      <c r="F150" s="78">
        <v>0.45200000000000001</v>
      </c>
      <c r="G150" s="77">
        <v>2000</v>
      </c>
      <c r="H150" s="78">
        <v>0.45200000000000001</v>
      </c>
    </row>
    <row r="151" spans="1:11" ht="30" customHeight="1">
      <c r="A151" s="71" t="s">
        <v>565</v>
      </c>
      <c r="B151" s="79">
        <v>5032.67</v>
      </c>
      <c r="C151" s="79">
        <v>1667</v>
      </c>
      <c r="D151" s="79">
        <v>7340.92</v>
      </c>
      <c r="E151" s="79">
        <v>6667</v>
      </c>
      <c r="F151" s="80">
        <v>1.101</v>
      </c>
      <c r="G151" s="79">
        <v>20000</v>
      </c>
      <c r="H151" s="80">
        <v>0.36699999999999999</v>
      </c>
    </row>
    <row r="152" spans="1:11" ht="30" customHeight="1">
      <c r="A152" s="71" t="s">
        <v>566</v>
      </c>
      <c r="B152" s="77">
        <v>444.56</v>
      </c>
      <c r="C152" s="77">
        <v>833</v>
      </c>
      <c r="D152" s="77">
        <v>3200.46</v>
      </c>
      <c r="E152" s="77">
        <v>3333</v>
      </c>
      <c r="F152" s="78">
        <v>0.96020000000000005</v>
      </c>
      <c r="G152" s="77">
        <v>10000</v>
      </c>
      <c r="H152" s="78">
        <v>0.32</v>
      </c>
    </row>
    <row r="153" spans="1:11" ht="30" customHeight="1">
      <c r="A153" s="71" t="s">
        <v>567</v>
      </c>
      <c r="B153" s="79">
        <v>1326.35</v>
      </c>
      <c r="C153" s="79">
        <v>1250</v>
      </c>
      <c r="D153" s="79">
        <v>15719.88</v>
      </c>
      <c r="E153" s="79">
        <v>5000</v>
      </c>
      <c r="F153" s="80">
        <v>3.1438999999999999</v>
      </c>
      <c r="G153" s="79">
        <v>15000</v>
      </c>
      <c r="H153" s="80">
        <v>1.0479000000000001</v>
      </c>
    </row>
    <row r="154" spans="1:11" ht="30" customHeight="1">
      <c r="A154" s="71" t="s">
        <v>568</v>
      </c>
      <c r="B154" s="77">
        <v>31.87</v>
      </c>
      <c r="C154" s="77">
        <v>208</v>
      </c>
      <c r="D154" s="77">
        <v>31.87</v>
      </c>
      <c r="E154" s="77">
        <v>833</v>
      </c>
      <c r="F154" s="78">
        <v>3.8199999999999998E-2</v>
      </c>
      <c r="G154" s="77">
        <v>2500</v>
      </c>
      <c r="H154" s="78">
        <v>1.2699999999999999E-2</v>
      </c>
    </row>
    <row r="155" spans="1:11" ht="30" customHeight="1">
      <c r="A155" s="71" t="s">
        <v>569</v>
      </c>
      <c r="B155" s="79">
        <v>450</v>
      </c>
      <c r="C155" s="79">
        <v>292</v>
      </c>
      <c r="D155" s="79">
        <v>1750</v>
      </c>
      <c r="E155" s="79">
        <v>1167</v>
      </c>
      <c r="F155" s="80">
        <v>1.4995000000000001</v>
      </c>
      <c r="G155" s="79">
        <v>3500</v>
      </c>
      <c r="H155" s="80">
        <v>0.5</v>
      </c>
    </row>
    <row r="156" spans="1:11" ht="30" customHeight="1">
      <c r="A156" s="71" t="s">
        <v>570</v>
      </c>
      <c r="B156" s="77">
        <v>142.44999999999999</v>
      </c>
      <c r="C156" s="77">
        <v>1667</v>
      </c>
      <c r="D156" s="77">
        <v>9172.34</v>
      </c>
      <c r="E156" s="77">
        <v>6667</v>
      </c>
      <c r="F156" s="78">
        <v>1.3756999999999999</v>
      </c>
      <c r="G156" s="77">
        <v>20000</v>
      </c>
      <c r="H156" s="78">
        <v>0.45860000000000001</v>
      </c>
    </row>
    <row r="157" spans="1:11" ht="30" customHeight="1">
      <c r="A157" s="71" t="s">
        <v>571</v>
      </c>
      <c r="B157" s="81">
        <v>0</v>
      </c>
      <c r="C157" s="81">
        <v>0</v>
      </c>
      <c r="D157" s="81">
        <v>86735.35</v>
      </c>
      <c r="E157" s="79">
        <v>0</v>
      </c>
      <c r="F157" s="80">
        <v>867.35350000000005</v>
      </c>
      <c r="G157" s="79">
        <v>0</v>
      </c>
      <c r="H157" s="80">
        <v>867.35350000000005</v>
      </c>
    </row>
    <row r="158" spans="1:11" ht="30" customHeight="1">
      <c r="A158" s="74" t="s">
        <v>572</v>
      </c>
      <c r="B158" s="75">
        <v>14093.26</v>
      </c>
      <c r="C158" s="75">
        <v>24646.5</v>
      </c>
      <c r="D158" s="75">
        <v>83240.570000000007</v>
      </c>
      <c r="E158" s="75">
        <v>82914</v>
      </c>
      <c r="F158" s="76">
        <v>1.0039</v>
      </c>
      <c r="G158" s="75">
        <v>231887</v>
      </c>
      <c r="H158" s="76">
        <v>0.3589</v>
      </c>
      <c r="K158" s="93">
        <f>+D158</f>
        <v>83240.570000000007</v>
      </c>
    </row>
    <row r="159" spans="1:11" ht="30" customHeight="1">
      <c r="A159" s="71" t="s">
        <v>518</v>
      </c>
      <c r="B159" s="87"/>
      <c r="C159" s="87"/>
      <c r="D159" s="87"/>
      <c r="E159" s="87"/>
      <c r="F159" s="87"/>
      <c r="G159" s="87"/>
      <c r="H159" s="87"/>
    </row>
    <row r="160" spans="1:11" ht="30" customHeight="1">
      <c r="A160" s="71" t="s">
        <v>573</v>
      </c>
      <c r="B160" s="77">
        <v>9593.4</v>
      </c>
      <c r="C160" s="77">
        <v>12580</v>
      </c>
      <c r="D160" s="77">
        <v>34693.769999999997</v>
      </c>
      <c r="E160" s="77">
        <v>37741</v>
      </c>
      <c r="F160" s="78">
        <v>0.91920000000000002</v>
      </c>
      <c r="G160" s="77">
        <v>109027</v>
      </c>
      <c r="H160" s="78">
        <v>0.31819999999999998</v>
      </c>
    </row>
    <row r="161" spans="1:8" ht="30" customHeight="1">
      <c r="A161" s="71" t="s">
        <v>574</v>
      </c>
      <c r="B161" s="79">
        <v>127.47</v>
      </c>
      <c r="C161" s="79">
        <v>307</v>
      </c>
      <c r="D161" s="79">
        <v>443.39</v>
      </c>
      <c r="E161" s="79">
        <v>920</v>
      </c>
      <c r="F161" s="80">
        <v>0.4819</v>
      </c>
      <c r="G161" s="79">
        <v>2657</v>
      </c>
      <c r="H161" s="80">
        <v>0.1668</v>
      </c>
    </row>
    <row r="162" spans="1:8" ht="30" customHeight="1">
      <c r="A162" s="71" t="s">
        <v>575</v>
      </c>
      <c r="B162" s="77">
        <v>843.96</v>
      </c>
      <c r="C162" s="77">
        <v>1089</v>
      </c>
      <c r="D162" s="77">
        <v>2985.78</v>
      </c>
      <c r="E162" s="77">
        <v>3267</v>
      </c>
      <c r="F162" s="78">
        <v>0.91390000000000005</v>
      </c>
      <c r="G162" s="77">
        <v>9437</v>
      </c>
      <c r="H162" s="78">
        <v>0.31630000000000003</v>
      </c>
    </row>
    <row r="163" spans="1:8" ht="30" customHeight="1">
      <c r="A163" s="71" t="s">
        <v>576</v>
      </c>
      <c r="B163" s="79">
        <v>-2322.4499999999998</v>
      </c>
      <c r="C163" s="79">
        <v>6888</v>
      </c>
      <c r="D163" s="79">
        <v>23934.46</v>
      </c>
      <c r="E163" s="79">
        <v>27552</v>
      </c>
      <c r="F163" s="80">
        <v>0.86870000000000003</v>
      </c>
      <c r="G163" s="79">
        <v>82657</v>
      </c>
      <c r="H163" s="80">
        <v>0.28949999999999998</v>
      </c>
    </row>
    <row r="164" spans="1:8" ht="30" customHeight="1">
      <c r="A164" s="71" t="s">
        <v>577</v>
      </c>
      <c r="B164" s="77">
        <v>210.04</v>
      </c>
      <c r="C164" s="77">
        <v>210</v>
      </c>
      <c r="D164" s="77">
        <v>624.79</v>
      </c>
      <c r="E164" s="77">
        <v>630</v>
      </c>
      <c r="F164" s="78">
        <v>0.99170000000000003</v>
      </c>
      <c r="G164" s="77">
        <v>1819</v>
      </c>
      <c r="H164" s="78">
        <v>0.34339999999999998</v>
      </c>
    </row>
    <row r="165" spans="1:8" ht="30" customHeight="1">
      <c r="A165" s="71" t="s">
        <v>578</v>
      </c>
      <c r="B165" s="79">
        <v>152.78</v>
      </c>
      <c r="C165" s="79">
        <v>83</v>
      </c>
      <c r="D165" s="79">
        <v>152.78</v>
      </c>
      <c r="E165" s="79">
        <v>333</v>
      </c>
      <c r="F165" s="80">
        <v>0.4587</v>
      </c>
      <c r="G165" s="79">
        <v>1000</v>
      </c>
      <c r="H165" s="80">
        <v>0.1527</v>
      </c>
    </row>
    <row r="166" spans="1:8" ht="30" customHeight="1">
      <c r="A166" s="71" t="s">
        <v>579</v>
      </c>
      <c r="B166" s="77">
        <v>0</v>
      </c>
      <c r="C166" s="77">
        <v>397</v>
      </c>
      <c r="D166" s="77">
        <v>499.16</v>
      </c>
      <c r="E166" s="77">
        <v>1192</v>
      </c>
      <c r="F166" s="78">
        <v>0.41870000000000002</v>
      </c>
      <c r="G166" s="77">
        <v>3440</v>
      </c>
      <c r="H166" s="78">
        <v>0.14510000000000001</v>
      </c>
    </row>
    <row r="167" spans="1:8" ht="30" customHeight="1">
      <c r="A167" s="71" t="s">
        <v>526</v>
      </c>
      <c r="B167" s="87"/>
      <c r="C167" s="87"/>
      <c r="D167" s="87"/>
      <c r="E167" s="87"/>
      <c r="F167" s="87"/>
      <c r="G167" s="87"/>
      <c r="H167" s="87"/>
    </row>
    <row r="168" spans="1:8" ht="30" customHeight="1">
      <c r="A168" s="71" t="s">
        <v>580</v>
      </c>
      <c r="B168" s="77">
        <v>4184.75</v>
      </c>
      <c r="C168" s="77">
        <v>2000</v>
      </c>
      <c r="D168" s="77">
        <v>10998.67</v>
      </c>
      <c r="E168" s="77">
        <v>7000</v>
      </c>
      <c r="F168" s="78">
        <v>1.5711999999999999</v>
      </c>
      <c r="G168" s="77">
        <v>10000</v>
      </c>
      <c r="H168" s="78">
        <v>1.0998000000000001</v>
      </c>
    </row>
    <row r="169" spans="1:8" ht="30" customHeight="1">
      <c r="A169" s="71" t="s">
        <v>581</v>
      </c>
      <c r="B169" s="79">
        <v>246.53</v>
      </c>
      <c r="C169" s="79">
        <v>0</v>
      </c>
      <c r="D169" s="79">
        <v>449.84</v>
      </c>
      <c r="E169" s="79">
        <v>0</v>
      </c>
      <c r="F169" s="80">
        <v>4.4984000000000002</v>
      </c>
      <c r="G169" s="79">
        <v>0</v>
      </c>
      <c r="H169" s="80">
        <v>4.4984000000000002</v>
      </c>
    </row>
    <row r="170" spans="1:8" ht="30" customHeight="1">
      <c r="A170" s="71" t="s">
        <v>582</v>
      </c>
      <c r="B170" s="77">
        <v>384.04</v>
      </c>
      <c r="C170" s="77">
        <v>180</v>
      </c>
      <c r="D170" s="77">
        <v>932.85</v>
      </c>
      <c r="E170" s="77">
        <v>630</v>
      </c>
      <c r="F170" s="78">
        <v>1.4806999999999999</v>
      </c>
      <c r="G170" s="77">
        <v>900</v>
      </c>
      <c r="H170" s="78">
        <v>1.0365</v>
      </c>
    </row>
    <row r="171" spans="1:8" ht="30" customHeight="1">
      <c r="A171" s="71" t="s">
        <v>583</v>
      </c>
      <c r="B171" s="79">
        <v>0</v>
      </c>
      <c r="C171" s="79">
        <v>0</v>
      </c>
      <c r="D171" s="79">
        <v>131.5</v>
      </c>
      <c r="E171" s="79">
        <v>0</v>
      </c>
      <c r="F171" s="80">
        <v>1.3149999999999999</v>
      </c>
      <c r="G171" s="79">
        <v>0</v>
      </c>
      <c r="H171" s="80">
        <v>1.3149999999999999</v>
      </c>
    </row>
    <row r="172" spans="1:8" ht="30" customHeight="1">
      <c r="A172" s="71" t="s">
        <v>584</v>
      </c>
      <c r="B172" s="77">
        <v>0</v>
      </c>
      <c r="C172" s="77">
        <v>25</v>
      </c>
      <c r="D172" s="77">
        <v>45.88</v>
      </c>
      <c r="E172" s="77">
        <v>100</v>
      </c>
      <c r="F172" s="78">
        <v>0.45879999999999999</v>
      </c>
      <c r="G172" s="77">
        <v>300</v>
      </c>
      <c r="H172" s="78">
        <v>0.15290000000000001</v>
      </c>
    </row>
    <row r="173" spans="1:8" ht="30" customHeight="1">
      <c r="A173" s="71" t="s">
        <v>585</v>
      </c>
      <c r="B173" s="87"/>
      <c r="C173" s="87"/>
      <c r="D173" s="87"/>
      <c r="E173" s="87"/>
      <c r="F173" s="87"/>
      <c r="G173" s="87"/>
      <c r="H173" s="87"/>
    </row>
    <row r="174" spans="1:8" ht="30" customHeight="1">
      <c r="A174" s="71" t="s">
        <v>586</v>
      </c>
      <c r="B174" s="77">
        <v>292.88</v>
      </c>
      <c r="C174" s="77">
        <v>250</v>
      </c>
      <c r="D174" s="77">
        <v>1056.8699999999999</v>
      </c>
      <c r="E174" s="77">
        <v>1000</v>
      </c>
      <c r="F174" s="78">
        <v>1.0568</v>
      </c>
      <c r="G174" s="77">
        <v>3000</v>
      </c>
      <c r="H174" s="78">
        <v>0.35220000000000001</v>
      </c>
    </row>
    <row r="175" spans="1:8" ht="30" customHeight="1">
      <c r="A175" s="71" t="s">
        <v>587</v>
      </c>
      <c r="B175" s="79">
        <v>0</v>
      </c>
      <c r="C175" s="79">
        <v>125</v>
      </c>
      <c r="D175" s="79">
        <v>5508</v>
      </c>
      <c r="E175" s="79">
        <v>500</v>
      </c>
      <c r="F175" s="80">
        <v>11.016</v>
      </c>
      <c r="G175" s="79">
        <v>1500</v>
      </c>
      <c r="H175" s="80">
        <v>3.6720000000000002</v>
      </c>
    </row>
    <row r="176" spans="1:8" ht="30" customHeight="1">
      <c r="A176" s="71" t="s">
        <v>507</v>
      </c>
      <c r="B176" s="72"/>
      <c r="C176" s="72"/>
      <c r="D176" s="72"/>
      <c r="E176" s="72"/>
      <c r="F176" s="72"/>
      <c r="G176" s="72"/>
      <c r="H176" s="72"/>
    </row>
    <row r="177" spans="1:11" ht="30" customHeight="1">
      <c r="A177" s="71" t="s">
        <v>588</v>
      </c>
      <c r="B177" s="79">
        <v>260.82</v>
      </c>
      <c r="C177" s="79">
        <v>417</v>
      </c>
      <c r="D177" s="79">
        <v>583.80999999999995</v>
      </c>
      <c r="E177" s="79">
        <v>1666</v>
      </c>
      <c r="F177" s="80">
        <v>0.35039999999999999</v>
      </c>
      <c r="G177" s="79">
        <v>5000</v>
      </c>
      <c r="H177" s="80">
        <v>0.1167</v>
      </c>
    </row>
    <row r="178" spans="1:11" ht="30" customHeight="1">
      <c r="A178" s="71" t="s">
        <v>589</v>
      </c>
      <c r="B178" s="77">
        <v>119.04</v>
      </c>
      <c r="C178" s="77">
        <v>12.5</v>
      </c>
      <c r="D178" s="77">
        <v>119.04</v>
      </c>
      <c r="E178" s="77">
        <v>50</v>
      </c>
      <c r="F178" s="78">
        <v>2.3807999999999998</v>
      </c>
      <c r="G178" s="77">
        <v>150</v>
      </c>
      <c r="H178" s="78">
        <v>0.79359999999999997</v>
      </c>
    </row>
    <row r="179" spans="1:11" ht="30" customHeight="1">
      <c r="A179" s="71" t="s">
        <v>590</v>
      </c>
      <c r="B179" s="79">
        <v>0</v>
      </c>
      <c r="C179" s="79">
        <v>83</v>
      </c>
      <c r="D179" s="79">
        <v>79.98</v>
      </c>
      <c r="E179" s="79">
        <v>333</v>
      </c>
      <c r="F179" s="80">
        <v>0.24010000000000001</v>
      </c>
      <c r="G179" s="79">
        <v>1000</v>
      </c>
      <c r="H179" s="80">
        <v>7.9899999999999999E-2</v>
      </c>
    </row>
    <row r="180" spans="1:11" ht="30" customHeight="1">
      <c r="A180" s="74" t="s">
        <v>591</v>
      </c>
      <c r="B180" s="75">
        <v>70422.070000000007</v>
      </c>
      <c r="C180" s="75">
        <v>43647</v>
      </c>
      <c r="D180" s="75">
        <v>146631.12</v>
      </c>
      <c r="E180" s="75">
        <v>119545</v>
      </c>
      <c r="F180" s="76">
        <v>1.2264999999999999</v>
      </c>
      <c r="G180" s="75">
        <v>257040</v>
      </c>
      <c r="H180" s="76">
        <v>0.57040000000000002</v>
      </c>
      <c r="K180" s="93">
        <f>+D180</f>
        <v>146631.12</v>
      </c>
    </row>
    <row r="181" spans="1:11" ht="30" customHeight="1">
      <c r="A181" s="71" t="s">
        <v>518</v>
      </c>
      <c r="B181" s="87"/>
      <c r="C181" s="87"/>
      <c r="D181" s="87"/>
      <c r="E181" s="87"/>
      <c r="F181" s="87"/>
      <c r="G181" s="87"/>
      <c r="H181" s="87"/>
    </row>
    <row r="182" spans="1:11" ht="30" customHeight="1">
      <c r="A182" s="71" t="s">
        <v>592</v>
      </c>
      <c r="B182" s="77">
        <v>9454.86</v>
      </c>
      <c r="C182" s="77">
        <v>8304</v>
      </c>
      <c r="D182" s="77">
        <v>28762.35</v>
      </c>
      <c r="E182" s="77">
        <v>24911</v>
      </c>
      <c r="F182" s="78">
        <v>1.1546000000000001</v>
      </c>
      <c r="G182" s="77">
        <v>71963</v>
      </c>
      <c r="H182" s="78">
        <v>0.39960000000000001</v>
      </c>
    </row>
    <row r="183" spans="1:11" ht="30" customHeight="1">
      <c r="A183" s="71" t="s">
        <v>593</v>
      </c>
      <c r="B183" s="79">
        <v>0</v>
      </c>
      <c r="C183" s="79">
        <v>833</v>
      </c>
      <c r="D183" s="79">
        <v>0</v>
      </c>
      <c r="E183" s="79">
        <v>2499</v>
      </c>
      <c r="F183" s="80">
        <v>0</v>
      </c>
      <c r="G183" s="79">
        <v>7221</v>
      </c>
      <c r="H183" s="80">
        <v>0</v>
      </c>
    </row>
    <row r="184" spans="1:11" ht="30" customHeight="1">
      <c r="A184" s="71" t="s">
        <v>594</v>
      </c>
      <c r="B184" s="77">
        <v>819.77</v>
      </c>
      <c r="C184" s="77">
        <v>772</v>
      </c>
      <c r="D184" s="77">
        <v>2337.25</v>
      </c>
      <c r="E184" s="77">
        <v>2317</v>
      </c>
      <c r="F184" s="78">
        <v>1.0086999999999999</v>
      </c>
      <c r="G184" s="77">
        <v>6691</v>
      </c>
      <c r="H184" s="78">
        <v>0.3493</v>
      </c>
    </row>
    <row r="185" spans="1:11" ht="30" customHeight="1">
      <c r="A185" s="71" t="s">
        <v>595</v>
      </c>
      <c r="B185" s="79">
        <v>3768.37</v>
      </c>
      <c r="C185" s="79">
        <v>3775</v>
      </c>
      <c r="D185" s="79">
        <v>18413.79</v>
      </c>
      <c r="E185" s="79">
        <v>15097</v>
      </c>
      <c r="F185" s="80">
        <v>1.2196</v>
      </c>
      <c r="G185" s="79">
        <v>45291</v>
      </c>
      <c r="H185" s="80">
        <v>0.40649999999999997</v>
      </c>
    </row>
    <row r="186" spans="1:11" ht="30" customHeight="1">
      <c r="A186" s="71" t="s">
        <v>596</v>
      </c>
      <c r="B186" s="77">
        <v>0</v>
      </c>
      <c r="C186" s="77">
        <v>0</v>
      </c>
      <c r="D186" s="77">
        <v>229.5</v>
      </c>
      <c r="E186" s="77">
        <v>500</v>
      </c>
      <c r="F186" s="78">
        <v>0.45900000000000002</v>
      </c>
      <c r="G186" s="77">
        <v>500</v>
      </c>
      <c r="H186" s="78">
        <v>0.45900000000000002</v>
      </c>
    </row>
    <row r="187" spans="1:11" ht="30" customHeight="1">
      <c r="A187" s="71" t="s">
        <v>597</v>
      </c>
      <c r="B187" s="79">
        <v>0</v>
      </c>
      <c r="C187" s="79">
        <v>40</v>
      </c>
      <c r="D187" s="79">
        <v>53.74</v>
      </c>
      <c r="E187" s="79">
        <v>121</v>
      </c>
      <c r="F187" s="80">
        <v>0.44409999999999999</v>
      </c>
      <c r="G187" s="79">
        <v>349</v>
      </c>
      <c r="H187" s="80">
        <v>0.15390000000000001</v>
      </c>
    </row>
    <row r="188" spans="1:11" ht="30" customHeight="1">
      <c r="A188" s="71" t="s">
        <v>526</v>
      </c>
      <c r="B188" s="72"/>
      <c r="C188" s="72"/>
      <c r="D188" s="72"/>
      <c r="E188" s="72"/>
      <c r="F188" s="72"/>
      <c r="G188" s="72"/>
      <c r="H188" s="72"/>
    </row>
    <row r="189" spans="1:11" ht="30" customHeight="1">
      <c r="A189" s="71" t="s">
        <v>598</v>
      </c>
      <c r="B189" s="79">
        <v>51777.77</v>
      </c>
      <c r="C189" s="79">
        <v>27181</v>
      </c>
      <c r="D189" s="79">
        <v>88764.69</v>
      </c>
      <c r="E189" s="79">
        <v>63423</v>
      </c>
      <c r="F189" s="80">
        <v>1.3995</v>
      </c>
      <c r="G189" s="79">
        <v>108725</v>
      </c>
      <c r="H189" s="80">
        <v>0.81640000000000001</v>
      </c>
    </row>
    <row r="190" spans="1:11" ht="30" customHeight="1">
      <c r="A190" s="71" t="s">
        <v>599</v>
      </c>
      <c r="B190" s="77">
        <v>182.78</v>
      </c>
      <c r="C190" s="77">
        <v>100</v>
      </c>
      <c r="D190" s="77">
        <v>217.99</v>
      </c>
      <c r="E190" s="77">
        <v>234</v>
      </c>
      <c r="F190" s="78">
        <v>0.93149999999999999</v>
      </c>
      <c r="G190" s="77">
        <v>400</v>
      </c>
      <c r="H190" s="78">
        <v>0.54490000000000005</v>
      </c>
    </row>
    <row r="191" spans="1:11" ht="30" customHeight="1">
      <c r="A191" s="71" t="s">
        <v>600</v>
      </c>
      <c r="B191" s="79">
        <v>4202.3599999999997</v>
      </c>
      <c r="C191" s="79">
        <v>2475</v>
      </c>
      <c r="D191" s="79">
        <v>7131.37</v>
      </c>
      <c r="E191" s="79">
        <v>5775</v>
      </c>
      <c r="F191" s="80">
        <v>1.2347999999999999</v>
      </c>
      <c r="G191" s="79">
        <v>9900</v>
      </c>
      <c r="H191" s="80">
        <v>0.72030000000000005</v>
      </c>
    </row>
    <row r="192" spans="1:11" ht="30" customHeight="1">
      <c r="A192" s="71" t="s">
        <v>601</v>
      </c>
      <c r="B192" s="77">
        <v>0</v>
      </c>
      <c r="C192" s="77">
        <v>0</v>
      </c>
      <c r="D192" s="77">
        <v>438</v>
      </c>
      <c r="E192" s="77">
        <v>4000</v>
      </c>
      <c r="F192" s="78">
        <v>0.1095</v>
      </c>
      <c r="G192" s="77">
        <v>4000</v>
      </c>
      <c r="H192" s="78">
        <v>0.1095</v>
      </c>
    </row>
    <row r="193" spans="1:11" ht="30" customHeight="1">
      <c r="A193" s="71" t="s">
        <v>602</v>
      </c>
      <c r="B193" s="79">
        <v>0</v>
      </c>
      <c r="C193" s="79">
        <v>42</v>
      </c>
      <c r="D193" s="79">
        <v>66.28</v>
      </c>
      <c r="E193" s="79">
        <v>167</v>
      </c>
      <c r="F193" s="80">
        <v>0.39679999999999999</v>
      </c>
      <c r="G193" s="79">
        <v>500</v>
      </c>
      <c r="H193" s="80">
        <v>0.13250000000000001</v>
      </c>
    </row>
    <row r="194" spans="1:11" ht="30" customHeight="1">
      <c r="A194" s="71" t="s">
        <v>507</v>
      </c>
      <c r="B194" s="72"/>
      <c r="C194" s="72"/>
      <c r="D194" s="72"/>
      <c r="E194" s="72"/>
      <c r="F194" s="72"/>
      <c r="G194" s="72"/>
      <c r="H194" s="72"/>
    </row>
    <row r="195" spans="1:11" ht="30" customHeight="1">
      <c r="A195" s="71" t="s">
        <v>603</v>
      </c>
      <c r="B195" s="79">
        <v>185.23</v>
      </c>
      <c r="C195" s="79">
        <v>83</v>
      </c>
      <c r="D195" s="79">
        <v>185.23</v>
      </c>
      <c r="E195" s="79">
        <v>334</v>
      </c>
      <c r="F195" s="80">
        <v>0.55449999999999999</v>
      </c>
      <c r="G195" s="79">
        <v>1000</v>
      </c>
      <c r="H195" s="80">
        <v>0.1852</v>
      </c>
    </row>
    <row r="196" spans="1:11" ht="30" customHeight="1">
      <c r="A196" s="71" t="s">
        <v>604</v>
      </c>
      <c r="B196" s="77">
        <v>30.93</v>
      </c>
      <c r="C196" s="77">
        <v>42</v>
      </c>
      <c r="D196" s="77">
        <v>30.93</v>
      </c>
      <c r="E196" s="77">
        <v>167</v>
      </c>
      <c r="F196" s="78">
        <v>0.1852</v>
      </c>
      <c r="G196" s="77">
        <v>500</v>
      </c>
      <c r="H196" s="78">
        <v>6.1800000000000001E-2</v>
      </c>
    </row>
    <row r="197" spans="1:11" ht="30" customHeight="1">
      <c r="A197" s="74" t="s">
        <v>605</v>
      </c>
      <c r="B197" s="75">
        <v>4360.3100000000004</v>
      </c>
      <c r="C197" s="75">
        <v>18703</v>
      </c>
      <c r="D197" s="75">
        <v>16101.34</v>
      </c>
      <c r="E197" s="75">
        <v>60070</v>
      </c>
      <c r="F197" s="76">
        <v>0.26800000000000002</v>
      </c>
      <c r="G197" s="75">
        <v>175289</v>
      </c>
      <c r="H197" s="76">
        <v>9.1800000000000007E-2</v>
      </c>
      <c r="K197" s="93">
        <f>+D197</f>
        <v>16101.34</v>
      </c>
    </row>
    <row r="198" spans="1:11" ht="30" customHeight="1">
      <c r="A198" s="71" t="s">
        <v>518</v>
      </c>
      <c r="B198" s="72"/>
      <c r="C198" s="72"/>
      <c r="D198" s="72"/>
      <c r="E198" s="72"/>
      <c r="F198" s="72"/>
      <c r="G198" s="72"/>
      <c r="H198" s="72"/>
    </row>
    <row r="199" spans="1:11" ht="30" customHeight="1">
      <c r="A199" s="71" t="s">
        <v>606</v>
      </c>
      <c r="B199" s="79">
        <v>4013.23</v>
      </c>
      <c r="C199" s="79">
        <v>13374</v>
      </c>
      <c r="D199" s="79">
        <v>14772.96</v>
      </c>
      <c r="E199" s="79">
        <v>40122</v>
      </c>
      <c r="F199" s="80">
        <v>0.36820000000000003</v>
      </c>
      <c r="G199" s="79">
        <v>115904</v>
      </c>
      <c r="H199" s="80">
        <v>0.12740000000000001</v>
      </c>
    </row>
    <row r="200" spans="1:11" ht="30" customHeight="1">
      <c r="A200" s="71" t="s">
        <v>607</v>
      </c>
      <c r="B200" s="77">
        <v>347.08</v>
      </c>
      <c r="C200" s="77">
        <v>1130</v>
      </c>
      <c r="D200" s="77">
        <v>1248.5999999999999</v>
      </c>
      <c r="E200" s="77">
        <v>3390</v>
      </c>
      <c r="F200" s="78">
        <v>0.36830000000000002</v>
      </c>
      <c r="G200" s="77">
        <v>9794</v>
      </c>
      <c r="H200" s="78">
        <v>0.12740000000000001</v>
      </c>
    </row>
    <row r="201" spans="1:11" ht="30" customHeight="1">
      <c r="A201" s="71" t="s">
        <v>608</v>
      </c>
      <c r="B201" s="79">
        <v>0</v>
      </c>
      <c r="C201" s="79">
        <v>3862</v>
      </c>
      <c r="D201" s="79">
        <v>0</v>
      </c>
      <c r="E201" s="79">
        <v>15448</v>
      </c>
      <c r="F201" s="80">
        <v>0</v>
      </c>
      <c r="G201" s="79">
        <v>46341</v>
      </c>
      <c r="H201" s="80">
        <v>0</v>
      </c>
    </row>
    <row r="202" spans="1:11" ht="30" customHeight="1">
      <c r="A202" s="71" t="s">
        <v>609</v>
      </c>
      <c r="B202" s="77">
        <v>0</v>
      </c>
      <c r="C202" s="77">
        <v>235</v>
      </c>
      <c r="D202" s="77">
        <v>0</v>
      </c>
      <c r="E202" s="77">
        <v>706</v>
      </c>
      <c r="F202" s="78">
        <v>0</v>
      </c>
      <c r="G202" s="77">
        <v>2040</v>
      </c>
      <c r="H202" s="78">
        <v>0</v>
      </c>
    </row>
    <row r="203" spans="1:11" ht="30" customHeight="1">
      <c r="A203" s="71" t="s">
        <v>610</v>
      </c>
      <c r="B203" s="79">
        <v>0</v>
      </c>
      <c r="C203" s="79">
        <v>17</v>
      </c>
      <c r="D203" s="79">
        <v>0</v>
      </c>
      <c r="E203" s="79">
        <v>67</v>
      </c>
      <c r="F203" s="80">
        <v>0</v>
      </c>
      <c r="G203" s="79">
        <v>200</v>
      </c>
      <c r="H203" s="80">
        <v>0</v>
      </c>
    </row>
    <row r="204" spans="1:11" ht="30" customHeight="1">
      <c r="A204" s="71" t="s">
        <v>611</v>
      </c>
      <c r="B204" s="77">
        <v>0</v>
      </c>
      <c r="C204" s="77">
        <v>43</v>
      </c>
      <c r="D204" s="77">
        <v>79.78</v>
      </c>
      <c r="E204" s="77">
        <v>170</v>
      </c>
      <c r="F204" s="78">
        <v>0.46920000000000001</v>
      </c>
      <c r="G204" s="77">
        <v>510</v>
      </c>
      <c r="H204" s="78">
        <v>0.15640000000000001</v>
      </c>
    </row>
    <row r="205" spans="1:11" ht="30" customHeight="1">
      <c r="A205" s="71" t="s">
        <v>507</v>
      </c>
      <c r="B205" s="87"/>
      <c r="C205" s="87"/>
      <c r="D205" s="87"/>
      <c r="E205" s="87"/>
      <c r="F205" s="87"/>
      <c r="G205" s="87"/>
      <c r="H205" s="87"/>
    </row>
    <row r="206" spans="1:11" ht="30" customHeight="1">
      <c r="A206" s="71" t="s">
        <v>612</v>
      </c>
      <c r="B206" s="77">
        <v>0</v>
      </c>
      <c r="C206" s="77">
        <v>42</v>
      </c>
      <c r="D206" s="77">
        <v>0</v>
      </c>
      <c r="E206" s="77">
        <v>167</v>
      </c>
      <c r="F206" s="78">
        <v>0</v>
      </c>
      <c r="G206" s="77">
        <v>500</v>
      </c>
      <c r="H206" s="78">
        <v>0</v>
      </c>
    </row>
    <row r="207" spans="1:11" ht="30" customHeight="1">
      <c r="A207" s="74" t="s">
        <v>613</v>
      </c>
      <c r="B207" s="75">
        <v>4786.8999999999996</v>
      </c>
      <c r="C207" s="75">
        <v>3769</v>
      </c>
      <c r="D207" s="75">
        <v>14553.6</v>
      </c>
      <c r="E207" s="75">
        <v>11305</v>
      </c>
      <c r="F207" s="76">
        <v>1.2873000000000001</v>
      </c>
      <c r="G207" s="75">
        <v>32660</v>
      </c>
      <c r="H207" s="76">
        <v>0.4456</v>
      </c>
      <c r="K207" s="93">
        <f>+D207</f>
        <v>14553.6</v>
      </c>
    </row>
    <row r="208" spans="1:11" ht="30" customHeight="1">
      <c r="A208" s="71" t="s">
        <v>518</v>
      </c>
      <c r="B208" s="72"/>
      <c r="C208" s="72"/>
      <c r="D208" s="72"/>
      <c r="E208" s="72"/>
      <c r="F208" s="72"/>
      <c r="G208" s="72"/>
      <c r="H208" s="72"/>
    </row>
    <row r="209" spans="1:11" ht="30" customHeight="1">
      <c r="A209" s="71" t="s">
        <v>614</v>
      </c>
      <c r="B209" s="79">
        <v>4405.1000000000004</v>
      </c>
      <c r="C209" s="79">
        <v>3471</v>
      </c>
      <c r="D209" s="79">
        <v>13411.66</v>
      </c>
      <c r="E209" s="79">
        <v>10412</v>
      </c>
      <c r="F209" s="80">
        <v>1.288</v>
      </c>
      <c r="G209" s="79">
        <v>30079</v>
      </c>
      <c r="H209" s="80">
        <v>0.44579999999999997</v>
      </c>
    </row>
    <row r="210" spans="1:11" ht="30" customHeight="1">
      <c r="A210" s="71" t="s">
        <v>615</v>
      </c>
      <c r="B210" s="77">
        <v>381.8</v>
      </c>
      <c r="C210" s="77">
        <v>294</v>
      </c>
      <c r="D210" s="77">
        <v>1136.7</v>
      </c>
      <c r="E210" s="77">
        <v>880</v>
      </c>
      <c r="F210" s="78">
        <v>1.2917000000000001</v>
      </c>
      <c r="G210" s="77">
        <v>2542</v>
      </c>
      <c r="H210" s="78">
        <v>0.4471</v>
      </c>
    </row>
    <row r="211" spans="1:11" ht="30" customHeight="1">
      <c r="A211" s="71" t="s">
        <v>616</v>
      </c>
      <c r="B211" s="79">
        <v>0</v>
      </c>
      <c r="C211" s="79">
        <v>4</v>
      </c>
      <c r="D211" s="79">
        <v>5.24</v>
      </c>
      <c r="E211" s="79">
        <v>13</v>
      </c>
      <c r="F211" s="80">
        <v>0.40300000000000002</v>
      </c>
      <c r="G211" s="79">
        <v>39</v>
      </c>
      <c r="H211" s="80">
        <v>0.1343</v>
      </c>
    </row>
    <row r="212" spans="1:11" ht="30" customHeight="1">
      <c r="A212" s="74" t="s">
        <v>617</v>
      </c>
      <c r="B212" s="75">
        <v>254453.64</v>
      </c>
      <c r="C212" s="75">
        <v>168553.75</v>
      </c>
      <c r="D212" s="75">
        <v>415379.98</v>
      </c>
      <c r="E212" s="75">
        <v>394351</v>
      </c>
      <c r="F212" s="76">
        <v>1.0532999999999999</v>
      </c>
      <c r="G212" s="75">
        <v>607410</v>
      </c>
      <c r="H212" s="76">
        <v>0.68379999999999996</v>
      </c>
      <c r="K212" s="93">
        <f>+D212-D237</f>
        <v>408918.51999999996</v>
      </c>
    </row>
    <row r="213" spans="1:11" ht="30" customHeight="1">
      <c r="A213" s="71" t="s">
        <v>518</v>
      </c>
      <c r="B213" s="87"/>
      <c r="C213" s="87"/>
      <c r="D213" s="87"/>
      <c r="E213" s="87"/>
      <c r="F213" s="87"/>
      <c r="G213" s="87"/>
      <c r="H213" s="87"/>
    </row>
    <row r="214" spans="1:11" ht="30" customHeight="1">
      <c r="A214" s="71" t="s">
        <v>618</v>
      </c>
      <c r="B214" s="77">
        <v>3090</v>
      </c>
      <c r="C214" s="77">
        <v>3090</v>
      </c>
      <c r="D214" s="77">
        <v>9249</v>
      </c>
      <c r="E214" s="77">
        <v>9270</v>
      </c>
      <c r="F214" s="78">
        <v>0.99770000000000003</v>
      </c>
      <c r="G214" s="77">
        <v>26780</v>
      </c>
      <c r="H214" s="78">
        <v>0.3453</v>
      </c>
    </row>
    <row r="215" spans="1:11" ht="30" customHeight="1">
      <c r="A215" s="71" t="s">
        <v>619</v>
      </c>
      <c r="B215" s="79">
        <v>267.95</v>
      </c>
      <c r="C215" s="79">
        <v>261</v>
      </c>
      <c r="D215" s="79">
        <v>784.84</v>
      </c>
      <c r="E215" s="79">
        <v>783</v>
      </c>
      <c r="F215" s="80">
        <v>1.0023</v>
      </c>
      <c r="G215" s="79">
        <v>2263</v>
      </c>
      <c r="H215" s="80">
        <v>0.3468</v>
      </c>
    </row>
    <row r="216" spans="1:11" ht="30" customHeight="1">
      <c r="A216" s="71" t="s">
        <v>620</v>
      </c>
      <c r="B216" s="77">
        <v>193.36</v>
      </c>
      <c r="C216" s="77">
        <v>97</v>
      </c>
      <c r="D216" s="77">
        <v>580.08000000000004</v>
      </c>
      <c r="E216" s="77">
        <v>388</v>
      </c>
      <c r="F216" s="78">
        <v>1.4950000000000001</v>
      </c>
      <c r="G216" s="77">
        <v>1164</v>
      </c>
      <c r="H216" s="78">
        <v>0.49830000000000002</v>
      </c>
    </row>
    <row r="217" spans="1:11" ht="30" customHeight="1">
      <c r="A217" s="71" t="s">
        <v>621</v>
      </c>
      <c r="B217" s="79">
        <v>0</v>
      </c>
      <c r="C217" s="79">
        <v>68.75</v>
      </c>
      <c r="D217" s="79">
        <v>119.3</v>
      </c>
      <c r="E217" s="79">
        <v>275</v>
      </c>
      <c r="F217" s="80">
        <v>0.43380000000000002</v>
      </c>
      <c r="G217" s="79">
        <v>825</v>
      </c>
      <c r="H217" s="80">
        <v>0.14460000000000001</v>
      </c>
    </row>
    <row r="218" spans="1:11" ht="30" customHeight="1">
      <c r="A218" s="71" t="s">
        <v>526</v>
      </c>
      <c r="B218" s="72"/>
      <c r="C218" s="72"/>
      <c r="D218" s="72"/>
      <c r="E218" s="72"/>
      <c r="F218" s="72"/>
      <c r="G218" s="72"/>
      <c r="H218" s="72"/>
    </row>
    <row r="219" spans="1:11" ht="30" customHeight="1">
      <c r="A219" s="71" t="s">
        <v>622</v>
      </c>
      <c r="B219" s="79">
        <v>4220.78</v>
      </c>
      <c r="C219" s="79">
        <v>0</v>
      </c>
      <c r="D219" s="79">
        <v>4220.78</v>
      </c>
      <c r="E219" s="79">
        <v>0</v>
      </c>
      <c r="F219" s="80">
        <v>42.207799999999999</v>
      </c>
      <c r="G219" s="79">
        <v>0</v>
      </c>
      <c r="H219" s="80">
        <v>42.207799999999999</v>
      </c>
    </row>
    <row r="220" spans="1:11" ht="30" customHeight="1">
      <c r="A220" s="71" t="s">
        <v>623</v>
      </c>
      <c r="B220" s="77">
        <v>211949.27</v>
      </c>
      <c r="C220" s="77">
        <v>130500</v>
      </c>
      <c r="D220" s="77">
        <v>319956.98</v>
      </c>
      <c r="E220" s="77">
        <v>304500</v>
      </c>
      <c r="F220" s="78">
        <v>1.0507</v>
      </c>
      <c r="G220" s="77">
        <v>435000</v>
      </c>
      <c r="H220" s="78">
        <v>0.73550000000000004</v>
      </c>
    </row>
    <row r="221" spans="1:11" ht="30" customHeight="1">
      <c r="A221" s="71" t="s">
        <v>624</v>
      </c>
      <c r="B221" s="79">
        <v>2294.65</v>
      </c>
      <c r="C221" s="79">
        <v>18750</v>
      </c>
      <c r="D221" s="79">
        <v>2295.2600000000002</v>
      </c>
      <c r="E221" s="79">
        <v>18750</v>
      </c>
      <c r="F221" s="80">
        <v>0.12239999999999999</v>
      </c>
      <c r="G221" s="79">
        <v>37500</v>
      </c>
      <c r="H221" s="80">
        <v>6.1199999999999997E-2</v>
      </c>
    </row>
    <row r="222" spans="1:11" ht="30" customHeight="1">
      <c r="A222" s="71" t="s">
        <v>625</v>
      </c>
      <c r="B222" s="77">
        <v>18954.22</v>
      </c>
      <c r="C222" s="77">
        <v>12758</v>
      </c>
      <c r="D222" s="77">
        <v>28252.080000000002</v>
      </c>
      <c r="E222" s="77">
        <v>29768</v>
      </c>
      <c r="F222" s="78">
        <v>0.94899999999999995</v>
      </c>
      <c r="G222" s="77">
        <v>42525</v>
      </c>
      <c r="H222" s="78">
        <v>0.6643</v>
      </c>
    </row>
    <row r="223" spans="1:11" ht="30" customHeight="1">
      <c r="A223" s="71" t="s">
        <v>626</v>
      </c>
      <c r="B223" s="79">
        <v>0</v>
      </c>
      <c r="C223" s="79">
        <v>0</v>
      </c>
      <c r="D223" s="79">
        <v>17447.560000000001</v>
      </c>
      <c r="E223" s="79">
        <v>5000</v>
      </c>
      <c r="F223" s="80">
        <v>3.4895</v>
      </c>
      <c r="G223" s="79">
        <v>15000</v>
      </c>
      <c r="H223" s="80">
        <v>1.1631</v>
      </c>
    </row>
    <row r="224" spans="1:11" ht="30" customHeight="1">
      <c r="A224" s="71" t="s">
        <v>627</v>
      </c>
      <c r="B224" s="77">
        <v>0</v>
      </c>
      <c r="C224" s="77">
        <v>1212</v>
      </c>
      <c r="D224" s="77">
        <v>2044</v>
      </c>
      <c r="E224" s="77">
        <v>4850</v>
      </c>
      <c r="F224" s="78">
        <v>0.4214</v>
      </c>
      <c r="G224" s="77">
        <v>14553</v>
      </c>
      <c r="H224" s="78">
        <v>0.1404</v>
      </c>
    </row>
    <row r="225" spans="1:12" ht="30" customHeight="1">
      <c r="A225" s="71" t="s">
        <v>628</v>
      </c>
      <c r="B225" s="79">
        <v>0</v>
      </c>
      <c r="C225" s="79">
        <v>0</v>
      </c>
      <c r="D225" s="79">
        <v>246.66</v>
      </c>
      <c r="E225" s="79">
        <v>0</v>
      </c>
      <c r="F225" s="80">
        <v>2.4666000000000001</v>
      </c>
      <c r="G225" s="79">
        <v>0</v>
      </c>
      <c r="H225" s="80">
        <v>2.4666000000000001</v>
      </c>
    </row>
    <row r="226" spans="1:12" ht="30" customHeight="1">
      <c r="A226" s="71" t="s">
        <v>585</v>
      </c>
      <c r="B226" s="72"/>
      <c r="C226" s="72"/>
      <c r="D226" s="72"/>
      <c r="E226" s="72"/>
      <c r="F226" s="72"/>
      <c r="G226" s="72"/>
      <c r="H226" s="72"/>
    </row>
    <row r="227" spans="1:12" ht="30" customHeight="1">
      <c r="A227" s="71" t="s">
        <v>629</v>
      </c>
      <c r="B227" s="79">
        <v>575</v>
      </c>
      <c r="C227" s="79">
        <v>625</v>
      </c>
      <c r="D227" s="79">
        <v>3147.31</v>
      </c>
      <c r="E227" s="79">
        <v>2500</v>
      </c>
      <c r="F227" s="80">
        <v>1.2588999999999999</v>
      </c>
      <c r="G227" s="79">
        <v>7500</v>
      </c>
      <c r="H227" s="80">
        <v>0.41959999999999997</v>
      </c>
    </row>
    <row r="228" spans="1:12" ht="30" customHeight="1">
      <c r="A228" s="71" t="s">
        <v>630</v>
      </c>
      <c r="B228" s="77">
        <v>0</v>
      </c>
      <c r="C228" s="77">
        <v>317</v>
      </c>
      <c r="D228" s="77">
        <v>645</v>
      </c>
      <c r="E228" s="77">
        <v>1267</v>
      </c>
      <c r="F228" s="78">
        <v>0.50900000000000001</v>
      </c>
      <c r="G228" s="77">
        <v>3800</v>
      </c>
      <c r="H228" s="78">
        <v>0.16969999999999999</v>
      </c>
    </row>
    <row r="229" spans="1:12" ht="30" customHeight="1">
      <c r="A229" s="71" t="s">
        <v>631</v>
      </c>
      <c r="B229" s="79">
        <v>0</v>
      </c>
      <c r="C229" s="79">
        <v>0</v>
      </c>
      <c r="D229" s="79">
        <v>0</v>
      </c>
      <c r="E229" s="79">
        <v>0</v>
      </c>
      <c r="F229" s="80">
        <v>0</v>
      </c>
      <c r="G229" s="79">
        <v>500</v>
      </c>
      <c r="H229" s="80">
        <v>0</v>
      </c>
    </row>
    <row r="230" spans="1:12" ht="30" customHeight="1">
      <c r="A230" s="71" t="s">
        <v>632</v>
      </c>
      <c r="B230" s="77">
        <v>210</v>
      </c>
      <c r="C230" s="77">
        <v>125</v>
      </c>
      <c r="D230" s="77">
        <v>332.94</v>
      </c>
      <c r="E230" s="77">
        <v>500</v>
      </c>
      <c r="F230" s="78">
        <v>0.66579999999999995</v>
      </c>
      <c r="G230" s="77">
        <v>1500</v>
      </c>
      <c r="H230" s="78">
        <v>0.22189999999999999</v>
      </c>
    </row>
    <row r="231" spans="1:12" ht="30" customHeight="1">
      <c r="A231" s="71" t="s">
        <v>507</v>
      </c>
      <c r="B231" s="87"/>
      <c r="C231" s="87"/>
      <c r="D231" s="87"/>
      <c r="E231" s="87"/>
      <c r="F231" s="87"/>
      <c r="G231" s="87"/>
      <c r="H231" s="87"/>
    </row>
    <row r="232" spans="1:12" ht="30" customHeight="1">
      <c r="A232" s="71" t="s">
        <v>633</v>
      </c>
      <c r="B232" s="77">
        <v>0</v>
      </c>
      <c r="C232" s="77">
        <v>250</v>
      </c>
      <c r="D232" s="77">
        <v>365.76</v>
      </c>
      <c r="E232" s="77">
        <v>1000</v>
      </c>
      <c r="F232" s="78">
        <v>0.36570000000000003</v>
      </c>
      <c r="G232" s="77">
        <v>3000</v>
      </c>
      <c r="H232" s="78">
        <v>0.12189999999999999</v>
      </c>
    </row>
    <row r="233" spans="1:12" ht="30" customHeight="1">
      <c r="A233" s="71" t="s">
        <v>634</v>
      </c>
      <c r="B233" s="79">
        <v>0</v>
      </c>
      <c r="C233" s="79">
        <v>0</v>
      </c>
      <c r="D233" s="79">
        <v>0</v>
      </c>
      <c r="E233" s="79">
        <v>500</v>
      </c>
      <c r="F233" s="80">
        <v>0</v>
      </c>
      <c r="G233" s="79">
        <v>500</v>
      </c>
      <c r="H233" s="80">
        <v>0</v>
      </c>
    </row>
    <row r="234" spans="1:12" ht="30" customHeight="1">
      <c r="A234" s="71" t="s">
        <v>635</v>
      </c>
      <c r="B234" s="77">
        <v>10390</v>
      </c>
      <c r="C234" s="77">
        <v>0</v>
      </c>
      <c r="D234" s="77">
        <v>10390</v>
      </c>
      <c r="E234" s="77">
        <v>11000</v>
      </c>
      <c r="F234" s="78">
        <v>0.94450000000000001</v>
      </c>
      <c r="G234" s="77">
        <v>11000</v>
      </c>
      <c r="H234" s="78">
        <v>0.94450000000000001</v>
      </c>
    </row>
    <row r="235" spans="1:12" ht="30" customHeight="1">
      <c r="A235" s="71" t="s">
        <v>636</v>
      </c>
      <c r="B235" s="79">
        <v>223.95</v>
      </c>
      <c r="C235" s="79">
        <v>0</v>
      </c>
      <c r="D235" s="79">
        <v>3594.22</v>
      </c>
      <c r="E235" s="79">
        <v>3000</v>
      </c>
      <c r="F235" s="80">
        <v>1.198</v>
      </c>
      <c r="G235" s="79">
        <v>3000</v>
      </c>
      <c r="H235" s="80">
        <v>1.198</v>
      </c>
    </row>
    <row r="236" spans="1:12" ht="30" customHeight="1">
      <c r="A236" s="71" t="s">
        <v>637</v>
      </c>
      <c r="B236" s="77">
        <v>0</v>
      </c>
      <c r="C236" s="77">
        <v>500</v>
      </c>
      <c r="D236" s="77">
        <v>24.5</v>
      </c>
      <c r="E236" s="77">
        <v>1000</v>
      </c>
      <c r="F236" s="78">
        <v>2.4500000000000001E-2</v>
      </c>
      <c r="G236" s="77">
        <v>1000</v>
      </c>
      <c r="H236" s="78">
        <v>2.4500000000000001E-2</v>
      </c>
    </row>
    <row r="237" spans="1:12" ht="30" customHeight="1">
      <c r="A237" s="71" t="s">
        <v>638</v>
      </c>
      <c r="B237" s="81">
        <v>1856.48</v>
      </c>
      <c r="C237" s="81">
        <v>0</v>
      </c>
      <c r="D237" s="81">
        <v>6461.46</v>
      </c>
      <c r="E237" s="81">
        <v>0</v>
      </c>
      <c r="F237" s="80">
        <v>64.614599999999996</v>
      </c>
      <c r="G237" s="79">
        <v>0</v>
      </c>
      <c r="H237" s="80">
        <v>64.614599999999996</v>
      </c>
    </row>
    <row r="238" spans="1:12" ht="30" customHeight="1">
      <c r="A238" s="71" t="s">
        <v>639</v>
      </c>
      <c r="B238" s="92">
        <v>227.98</v>
      </c>
      <c r="C238" s="92">
        <v>0</v>
      </c>
      <c r="D238" s="92">
        <v>5222.25</v>
      </c>
      <c r="E238" s="92">
        <v>0</v>
      </c>
      <c r="F238" s="78">
        <v>52.222499999999997</v>
      </c>
      <c r="G238" s="77">
        <v>0</v>
      </c>
      <c r="H238" s="78">
        <v>52.222499999999997</v>
      </c>
    </row>
    <row r="239" spans="1:12" ht="30" customHeight="1">
      <c r="A239" s="82" t="s">
        <v>57</v>
      </c>
      <c r="B239" s="83">
        <v>1451023.59</v>
      </c>
      <c r="C239" s="83">
        <v>807528.25</v>
      </c>
      <c r="D239" s="83">
        <v>6771624.5199999996</v>
      </c>
      <c r="E239" s="83">
        <v>2385721</v>
      </c>
      <c r="F239" s="84">
        <v>2.8382999999999998</v>
      </c>
      <c r="G239" s="83">
        <v>6117694</v>
      </c>
      <c r="H239" s="84">
        <v>1.1068</v>
      </c>
      <c r="K239" s="93">
        <f>SUM(K61:K238)</f>
        <v>2554146.59</v>
      </c>
      <c r="L239" s="48">
        <f>+'Fin Summary - Operating'!I58-'Full Data New'!K239</f>
        <v>0</v>
      </c>
    </row>
    <row r="242" spans="1:11" ht="47.25">
      <c r="A242" s="86"/>
      <c r="B242" s="88" t="s">
        <v>640</v>
      </c>
      <c r="C242" s="88" t="s">
        <v>641</v>
      </c>
      <c r="D242" s="88" t="s">
        <v>642</v>
      </c>
      <c r="E242" s="88" t="s">
        <v>643</v>
      </c>
      <c r="G242" s="88" t="s">
        <v>644</v>
      </c>
    </row>
    <row r="243" spans="1:11" ht="30" customHeight="1">
      <c r="A243" s="71" t="s">
        <v>645</v>
      </c>
      <c r="B243" s="89">
        <v>-459190.56</v>
      </c>
      <c r="C243" s="77">
        <v>90601.75</v>
      </c>
      <c r="D243" s="77">
        <v>-2257570.71</v>
      </c>
      <c r="E243" s="77">
        <v>538872</v>
      </c>
      <c r="G243" s="77">
        <v>538872</v>
      </c>
    </row>
    <row r="244" spans="1:11" ht="30" customHeight="1">
      <c r="A244" s="82" t="s">
        <v>17</v>
      </c>
      <c r="B244" s="90">
        <v>-459190.56</v>
      </c>
      <c r="C244" s="83">
        <v>90601.75</v>
      </c>
      <c r="D244" s="83">
        <v>-2257570.71</v>
      </c>
      <c r="E244" s="83">
        <v>538872</v>
      </c>
      <c r="G244" s="83">
        <v>538872</v>
      </c>
    </row>
    <row r="245" spans="1:11" ht="30" customHeight="1"/>
    <row r="246" spans="1:11">
      <c r="K246" s="9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74C2-D802-4A27-B407-38B29CC21E6F}">
  <dimension ref="A1:F235"/>
  <sheetViews>
    <sheetView workbookViewId="0"/>
  </sheetViews>
  <sheetFormatPr defaultColWidth="9.140625" defaultRowHeight="15"/>
  <cols>
    <col min="1" max="1" width="9" style="57" bestFit="1" customWidth="1"/>
    <col min="2" max="2" width="44.7109375" style="57" bestFit="1" customWidth="1"/>
    <col min="3" max="3" width="49.85546875" style="57" customWidth="1"/>
    <col min="4" max="4" width="13.28515625" style="58" bestFit="1" customWidth="1"/>
    <col min="5" max="5" width="37.28515625" style="57" bestFit="1" customWidth="1"/>
    <col min="6" max="6" width="9.5703125" style="57" bestFit="1" customWidth="1"/>
    <col min="7" max="16384" width="9.140625" style="57"/>
  </cols>
  <sheetData>
    <row r="1" spans="1:6">
      <c r="A1" s="57">
        <v>6012700</v>
      </c>
      <c r="B1" s="57" t="s">
        <v>106</v>
      </c>
    </row>
    <row r="2" spans="1:6">
      <c r="A2" s="59" t="s">
        <v>107</v>
      </c>
      <c r="B2" s="59" t="s">
        <v>108</v>
      </c>
      <c r="C2" s="59" t="s">
        <v>11</v>
      </c>
      <c r="D2" s="60" t="s">
        <v>109</v>
      </c>
      <c r="E2" s="59" t="s">
        <v>110</v>
      </c>
    </row>
    <row r="3" spans="1:6">
      <c r="A3" s="57" t="s">
        <v>111</v>
      </c>
      <c r="B3" s="57" t="s">
        <v>112</v>
      </c>
      <c r="C3" s="57" t="s">
        <v>113</v>
      </c>
      <c r="D3" s="58">
        <v>3088.5</v>
      </c>
      <c r="E3" s="57" t="s">
        <v>114</v>
      </c>
    </row>
    <row r="4" spans="1:6">
      <c r="A4" s="57" t="s">
        <v>115</v>
      </c>
      <c r="B4" s="57" t="s">
        <v>116</v>
      </c>
      <c r="C4" s="57" t="s">
        <v>117</v>
      </c>
      <c r="D4" s="58">
        <v>12500</v>
      </c>
      <c r="E4" s="57" t="s">
        <v>114</v>
      </c>
    </row>
    <row r="5" spans="1:6">
      <c r="A5" s="57" t="s">
        <v>118</v>
      </c>
      <c r="B5" s="57" t="s">
        <v>119</v>
      </c>
      <c r="C5" s="57" t="s">
        <v>120</v>
      </c>
      <c r="D5" s="58">
        <v>2391</v>
      </c>
      <c r="E5" s="57" t="s">
        <v>114</v>
      </c>
    </row>
    <row r="6" spans="1:6">
      <c r="A6" s="57" t="s">
        <v>121</v>
      </c>
      <c r="B6" s="57" t="s">
        <v>122</v>
      </c>
      <c r="C6" s="57" t="s">
        <v>123</v>
      </c>
      <c r="D6" s="58">
        <v>5425</v>
      </c>
      <c r="E6" s="57" t="s">
        <v>0</v>
      </c>
    </row>
    <row r="7" spans="1:6">
      <c r="A7" s="57" t="s">
        <v>124</v>
      </c>
      <c r="B7" s="57" t="s">
        <v>125</v>
      </c>
      <c r="C7" s="57" t="s">
        <v>126</v>
      </c>
      <c r="D7" s="58">
        <v>900</v>
      </c>
      <c r="E7" s="61"/>
    </row>
    <row r="8" spans="1:6">
      <c r="A8" s="57" t="s">
        <v>371</v>
      </c>
      <c r="B8" s="57" t="s">
        <v>116</v>
      </c>
      <c r="C8" s="57" t="s">
        <v>117</v>
      </c>
      <c r="D8" s="58">
        <v>32710</v>
      </c>
      <c r="E8" s="57" t="s">
        <v>372</v>
      </c>
    </row>
    <row r="9" spans="1:6">
      <c r="A9" s="57" t="s">
        <v>388</v>
      </c>
      <c r="B9" s="57" t="s">
        <v>116</v>
      </c>
      <c r="C9" s="57" t="s">
        <v>404</v>
      </c>
      <c r="D9" s="58">
        <v>522.5</v>
      </c>
      <c r="E9" s="61"/>
    </row>
    <row r="10" spans="1:6">
      <c r="A10" s="57" t="s">
        <v>397</v>
      </c>
      <c r="B10" s="57" t="s">
        <v>405</v>
      </c>
      <c r="C10" s="57" t="s">
        <v>406</v>
      </c>
      <c r="D10" s="58">
        <v>16500</v>
      </c>
      <c r="E10" s="57" t="s">
        <v>0</v>
      </c>
    </row>
    <row r="11" spans="1:6">
      <c r="A11" s="57" t="s">
        <v>390</v>
      </c>
      <c r="B11" s="57" t="s">
        <v>147</v>
      </c>
      <c r="C11" s="57" t="s">
        <v>407</v>
      </c>
      <c r="D11" s="58">
        <v>143.77000000000001</v>
      </c>
      <c r="E11" s="61"/>
    </row>
    <row r="13" spans="1:6">
      <c r="D13" s="58">
        <f>SUM(D3:D12)</f>
        <v>74180.77</v>
      </c>
      <c r="F13" s="67">
        <f>81581.4-D13</f>
        <v>7400.6299999999901</v>
      </c>
    </row>
    <row r="15" spans="1:6">
      <c r="A15" s="57">
        <v>6012725</v>
      </c>
      <c r="B15" s="57" t="s">
        <v>15</v>
      </c>
    </row>
    <row r="16" spans="1:6">
      <c r="A16" s="59" t="s">
        <v>107</v>
      </c>
      <c r="B16" s="59" t="s">
        <v>108</v>
      </c>
      <c r="C16" s="59" t="s">
        <v>11</v>
      </c>
      <c r="D16" s="60" t="s">
        <v>109</v>
      </c>
      <c r="E16" s="59" t="s">
        <v>110</v>
      </c>
    </row>
    <row r="17" spans="1:5">
      <c r="A17" s="57" t="s">
        <v>127</v>
      </c>
      <c r="B17" s="57" t="s">
        <v>128</v>
      </c>
      <c r="C17" s="57" t="s">
        <v>129</v>
      </c>
      <c r="D17" s="58">
        <v>836.33</v>
      </c>
      <c r="E17" s="57" t="s">
        <v>130</v>
      </c>
    </row>
    <row r="18" spans="1:5">
      <c r="A18" s="57" t="s">
        <v>131</v>
      </c>
      <c r="B18" s="57" t="s">
        <v>128</v>
      </c>
      <c r="C18" s="57" t="s">
        <v>129</v>
      </c>
      <c r="D18" s="58">
        <v>836.33</v>
      </c>
      <c r="E18" s="57" t="s">
        <v>130</v>
      </c>
    </row>
    <row r="19" spans="1:5">
      <c r="A19" s="57" t="s">
        <v>132</v>
      </c>
      <c r="B19" s="57" t="s">
        <v>128</v>
      </c>
      <c r="C19" s="57" t="s">
        <v>129</v>
      </c>
      <c r="D19" s="58">
        <v>836.33</v>
      </c>
      <c r="E19" s="57" t="s">
        <v>130</v>
      </c>
    </row>
    <row r="20" spans="1:5">
      <c r="A20" s="57" t="s">
        <v>133</v>
      </c>
      <c r="B20" s="57" t="s">
        <v>128</v>
      </c>
      <c r="C20" s="57" t="s">
        <v>129</v>
      </c>
      <c r="D20" s="58">
        <v>836.33</v>
      </c>
      <c r="E20" s="57" t="s">
        <v>130</v>
      </c>
    </row>
    <row r="21" spans="1:5">
      <c r="A21" s="57" t="s">
        <v>134</v>
      </c>
      <c r="B21" s="57" t="s">
        <v>128</v>
      </c>
      <c r="C21" s="57" t="s">
        <v>129</v>
      </c>
      <c r="D21" s="58">
        <v>836.33</v>
      </c>
      <c r="E21" s="57" t="s">
        <v>130</v>
      </c>
    </row>
    <row r="22" spans="1:5">
      <c r="A22" s="57" t="s">
        <v>135</v>
      </c>
      <c r="B22" s="57" t="s">
        <v>128</v>
      </c>
      <c r="C22" s="57" t="s">
        <v>129</v>
      </c>
      <c r="D22" s="58">
        <v>836.33</v>
      </c>
      <c r="E22" s="57" t="s">
        <v>130</v>
      </c>
    </row>
    <row r="23" spans="1:5">
      <c r="A23" s="57" t="s">
        <v>136</v>
      </c>
      <c r="B23" s="57" t="s">
        <v>128</v>
      </c>
      <c r="C23" s="57" t="s">
        <v>129</v>
      </c>
      <c r="D23" s="58">
        <v>836.33</v>
      </c>
      <c r="E23" s="57" t="s">
        <v>130</v>
      </c>
    </row>
    <row r="24" spans="1:5">
      <c r="A24" s="57" t="s">
        <v>373</v>
      </c>
      <c r="B24" s="57" t="s">
        <v>128</v>
      </c>
      <c r="C24" s="57" t="s">
        <v>129</v>
      </c>
      <c r="D24" s="58">
        <v>836.33</v>
      </c>
      <c r="E24" s="57" t="s">
        <v>130</v>
      </c>
    </row>
    <row r="25" spans="1:5">
      <c r="A25" s="57" t="s">
        <v>402</v>
      </c>
      <c r="B25" s="57" t="s">
        <v>128</v>
      </c>
      <c r="C25" s="57" t="s">
        <v>129</v>
      </c>
      <c r="D25" s="58">
        <v>836.33</v>
      </c>
      <c r="E25" s="57" t="s">
        <v>130</v>
      </c>
    </row>
    <row r="26" spans="1:5">
      <c r="A26" s="57" t="s">
        <v>403</v>
      </c>
      <c r="B26" s="57" t="s">
        <v>128</v>
      </c>
      <c r="C26" s="57" t="s">
        <v>129</v>
      </c>
      <c r="D26" s="58">
        <v>836.33</v>
      </c>
      <c r="E26" s="57" t="s">
        <v>130</v>
      </c>
    </row>
    <row r="28" spans="1:5">
      <c r="D28" s="58">
        <f>SUM(D17:D27)</f>
        <v>8363.3000000000011</v>
      </c>
    </row>
    <row r="30" spans="1:5">
      <c r="A30" s="57">
        <v>6012750</v>
      </c>
      <c r="B30" s="57" t="s">
        <v>12</v>
      </c>
    </row>
    <row r="31" spans="1:5">
      <c r="A31" s="59" t="s">
        <v>107</v>
      </c>
      <c r="B31" s="59" t="s">
        <v>108</v>
      </c>
      <c r="C31" s="59" t="s">
        <v>11</v>
      </c>
      <c r="D31" s="60" t="s">
        <v>109</v>
      </c>
      <c r="E31" s="59" t="s">
        <v>110</v>
      </c>
    </row>
    <row r="32" spans="1:5">
      <c r="A32" s="57" t="s">
        <v>137</v>
      </c>
      <c r="B32" s="57" t="s">
        <v>138</v>
      </c>
      <c r="C32" s="57" t="s">
        <v>139</v>
      </c>
      <c r="D32" s="58">
        <f>2571.44-775.16</f>
        <v>1796.2800000000002</v>
      </c>
      <c r="E32" s="57" t="s">
        <v>114</v>
      </c>
    </row>
    <row r="33" spans="1:5">
      <c r="A33" s="57" t="s">
        <v>140</v>
      </c>
      <c r="B33" s="57" t="s">
        <v>112</v>
      </c>
      <c r="C33" s="57" t="s">
        <v>141</v>
      </c>
      <c r="D33" s="58">
        <v>1595</v>
      </c>
      <c r="E33" s="57" t="s">
        <v>114</v>
      </c>
    </row>
    <row r="34" spans="1:5">
      <c r="A34" s="57" t="s">
        <v>142</v>
      </c>
      <c r="B34" s="57" t="s">
        <v>112</v>
      </c>
      <c r="C34" s="57" t="s">
        <v>141</v>
      </c>
      <c r="D34" s="58">
        <v>17374.77</v>
      </c>
      <c r="E34" s="57" t="s">
        <v>114</v>
      </c>
    </row>
    <row r="35" spans="1:5">
      <c r="A35" s="57" t="s">
        <v>143</v>
      </c>
      <c r="B35" s="57" t="s">
        <v>144</v>
      </c>
      <c r="C35" s="57" t="s">
        <v>141</v>
      </c>
      <c r="D35" s="58">
        <v>100133.75</v>
      </c>
      <c r="E35" s="57" t="s">
        <v>114</v>
      </c>
    </row>
    <row r="36" spans="1:5">
      <c r="A36" s="57" t="s">
        <v>145</v>
      </c>
      <c r="B36" s="57" t="s">
        <v>112</v>
      </c>
      <c r="C36" s="57" t="s">
        <v>139</v>
      </c>
      <c r="D36" s="58">
        <v>570</v>
      </c>
      <c r="E36" s="57" t="s">
        <v>114</v>
      </c>
    </row>
    <row r="37" spans="1:5">
      <c r="A37" s="57" t="s">
        <v>136</v>
      </c>
      <c r="B37" s="57" t="s">
        <v>112</v>
      </c>
      <c r="C37" s="57" t="s">
        <v>139</v>
      </c>
      <c r="D37" s="58">
        <v>2343.75</v>
      </c>
      <c r="E37" s="57" t="s">
        <v>114</v>
      </c>
    </row>
    <row r="38" spans="1:5">
      <c r="A38" s="57" t="s">
        <v>146</v>
      </c>
      <c r="B38" s="57" t="s">
        <v>147</v>
      </c>
      <c r="C38" s="57" t="s">
        <v>148</v>
      </c>
      <c r="D38" s="58">
        <f>854.7-20.7</f>
        <v>834</v>
      </c>
      <c r="E38" s="57" t="s">
        <v>114</v>
      </c>
    </row>
    <row r="39" spans="1:5">
      <c r="A39" s="57" t="s">
        <v>149</v>
      </c>
      <c r="B39" s="57" t="s">
        <v>147</v>
      </c>
      <c r="C39" s="57" t="s">
        <v>148</v>
      </c>
      <c r="D39" s="58">
        <v>195.16</v>
      </c>
      <c r="E39" s="57" t="s">
        <v>114</v>
      </c>
    </row>
    <row r="40" spans="1:5">
      <c r="A40" s="57" t="s">
        <v>150</v>
      </c>
      <c r="B40" s="57" t="s">
        <v>151</v>
      </c>
      <c r="C40" s="57" t="s">
        <v>148</v>
      </c>
      <c r="D40" s="58">
        <v>98.19</v>
      </c>
      <c r="E40" s="57" t="s">
        <v>114</v>
      </c>
    </row>
    <row r="41" spans="1:5">
      <c r="A41" s="57" t="s">
        <v>371</v>
      </c>
      <c r="B41" s="57" t="s">
        <v>161</v>
      </c>
      <c r="C41" s="57" t="s">
        <v>148</v>
      </c>
      <c r="D41" s="58">
        <v>34.94</v>
      </c>
      <c r="E41" s="57" t="s">
        <v>114</v>
      </c>
    </row>
    <row r="42" spans="1:5">
      <c r="A42" s="57" t="s">
        <v>371</v>
      </c>
      <c r="B42" s="57" t="s">
        <v>161</v>
      </c>
      <c r="C42" s="57" t="s">
        <v>148</v>
      </c>
      <c r="D42" s="58">
        <v>14.96</v>
      </c>
      <c r="E42" s="57" t="s">
        <v>114</v>
      </c>
    </row>
    <row r="43" spans="1:5">
      <c r="A43" s="57" t="s">
        <v>371</v>
      </c>
      <c r="B43" s="57" t="s">
        <v>161</v>
      </c>
      <c r="C43" s="57" t="s">
        <v>148</v>
      </c>
      <c r="D43" s="58">
        <v>57.92</v>
      </c>
      <c r="E43" s="57" t="s">
        <v>114</v>
      </c>
    </row>
    <row r="44" spans="1:5">
      <c r="A44" s="57" t="s">
        <v>374</v>
      </c>
      <c r="B44" s="57" t="s">
        <v>112</v>
      </c>
      <c r="C44" s="57" t="s">
        <v>139</v>
      </c>
      <c r="D44" s="58">
        <v>1521.35</v>
      </c>
      <c r="E44" s="57" t="s">
        <v>114</v>
      </c>
    </row>
    <row r="45" spans="1:5">
      <c r="A45" s="57" t="s">
        <v>375</v>
      </c>
      <c r="B45" s="57" t="s">
        <v>147</v>
      </c>
      <c r="C45" s="57" t="s">
        <v>148</v>
      </c>
      <c r="D45" s="58">
        <v>858.2</v>
      </c>
      <c r="E45" s="57" t="s">
        <v>114</v>
      </c>
    </row>
    <row r="46" spans="1:5">
      <c r="A46" s="57" t="s">
        <v>376</v>
      </c>
      <c r="B46" s="57" t="s">
        <v>147</v>
      </c>
      <c r="C46" s="57" t="s">
        <v>148</v>
      </c>
      <c r="D46" s="58">
        <v>964.69</v>
      </c>
      <c r="E46" s="57" t="s">
        <v>114</v>
      </c>
    </row>
    <row r="47" spans="1:5">
      <c r="A47" s="57" t="s">
        <v>397</v>
      </c>
      <c r="B47" s="57" t="s">
        <v>112</v>
      </c>
      <c r="C47" s="57" t="s">
        <v>400</v>
      </c>
      <c r="D47" s="58">
        <v>1103.75</v>
      </c>
      <c r="E47" s="57" t="s">
        <v>114</v>
      </c>
    </row>
    <row r="48" spans="1:5">
      <c r="A48" s="57" t="s">
        <v>398</v>
      </c>
      <c r="B48" s="57" t="s">
        <v>147</v>
      </c>
      <c r="C48" s="57" t="s">
        <v>148</v>
      </c>
      <c r="D48" s="58">
        <v>814</v>
      </c>
      <c r="E48" s="57" t="s">
        <v>114</v>
      </c>
    </row>
    <row r="49" spans="1:5">
      <c r="A49" s="57" t="s">
        <v>390</v>
      </c>
      <c r="B49" s="57" t="s">
        <v>399</v>
      </c>
      <c r="C49" s="57" t="s">
        <v>401</v>
      </c>
      <c r="D49" s="58">
        <v>73600</v>
      </c>
      <c r="E49" s="57" t="s">
        <v>114</v>
      </c>
    </row>
    <row r="52" spans="1:5">
      <c r="D52" s="58">
        <f>SUM(D32:D51)</f>
        <v>203910.71000000002</v>
      </c>
    </row>
    <row r="54" spans="1:5">
      <c r="A54" s="57">
        <v>6012800</v>
      </c>
      <c r="B54" s="57" t="s">
        <v>1</v>
      </c>
    </row>
    <row r="55" spans="1:5">
      <c r="A55" s="59" t="s">
        <v>107</v>
      </c>
      <c r="B55" s="59" t="s">
        <v>108</v>
      </c>
      <c r="C55" s="59" t="s">
        <v>11</v>
      </c>
      <c r="D55" s="60" t="s">
        <v>109</v>
      </c>
      <c r="E55" s="59" t="s">
        <v>110</v>
      </c>
    </row>
    <row r="56" spans="1:5">
      <c r="A56" s="57" t="s">
        <v>121</v>
      </c>
      <c r="B56" s="57" t="s">
        <v>152</v>
      </c>
      <c r="C56" s="57" t="s">
        <v>153</v>
      </c>
      <c r="D56" s="58">
        <v>742.3</v>
      </c>
      <c r="E56" s="57" t="s">
        <v>154</v>
      </c>
    </row>
    <row r="57" spans="1:5">
      <c r="A57" s="57" t="s">
        <v>155</v>
      </c>
      <c r="B57" s="57" t="s">
        <v>156</v>
      </c>
      <c r="C57" s="57" t="s">
        <v>157</v>
      </c>
      <c r="D57" s="58">
        <v>51.18</v>
      </c>
      <c r="E57" s="57" t="s">
        <v>114</v>
      </c>
    </row>
    <row r="58" spans="1:5">
      <c r="A58" s="57" t="s">
        <v>132</v>
      </c>
      <c r="B58" s="57" t="s">
        <v>147</v>
      </c>
      <c r="C58" s="57" t="s">
        <v>158</v>
      </c>
      <c r="D58" s="58">
        <f>24.55-18.07</f>
        <v>6.48</v>
      </c>
      <c r="E58" s="61"/>
    </row>
    <row r="59" spans="1:5">
      <c r="A59" s="57" t="s">
        <v>376</v>
      </c>
      <c r="B59" s="57" t="s">
        <v>188</v>
      </c>
      <c r="C59" s="57" t="s">
        <v>157</v>
      </c>
      <c r="D59" s="58">
        <v>325.95</v>
      </c>
      <c r="E59" s="57" t="s">
        <v>114</v>
      </c>
    </row>
    <row r="60" spans="1:5">
      <c r="A60" s="57" t="s">
        <v>376</v>
      </c>
      <c r="B60" s="57" t="s">
        <v>395</v>
      </c>
      <c r="C60" s="57" t="s">
        <v>157</v>
      </c>
      <c r="D60" s="58">
        <v>135.29</v>
      </c>
      <c r="E60" s="57" t="s">
        <v>114</v>
      </c>
    </row>
    <row r="61" spans="1:5">
      <c r="A61" s="57" t="s">
        <v>393</v>
      </c>
      <c r="B61" s="57" t="s">
        <v>395</v>
      </c>
      <c r="C61" s="57" t="s">
        <v>157</v>
      </c>
      <c r="D61" s="58">
        <v>51.68</v>
      </c>
      <c r="E61" s="57" t="s">
        <v>114</v>
      </c>
    </row>
    <row r="62" spans="1:5">
      <c r="A62" s="57" t="s">
        <v>394</v>
      </c>
      <c r="B62" s="57" t="s">
        <v>396</v>
      </c>
      <c r="C62" s="57" t="s">
        <v>157</v>
      </c>
      <c r="D62" s="58">
        <v>28.66</v>
      </c>
      <c r="E62" s="57" t="s">
        <v>114</v>
      </c>
    </row>
    <row r="67" spans="1:5">
      <c r="D67" s="58">
        <f>SUM(D56:D66)</f>
        <v>1341.54</v>
      </c>
    </row>
    <row r="71" spans="1:5">
      <c r="A71" s="57">
        <v>6020530</v>
      </c>
      <c r="B71" s="57" t="s">
        <v>159</v>
      </c>
    </row>
    <row r="72" spans="1:5">
      <c r="A72" s="59" t="s">
        <v>107</v>
      </c>
      <c r="B72" s="59" t="s">
        <v>108</v>
      </c>
      <c r="C72" s="59" t="s">
        <v>11</v>
      </c>
      <c r="D72" s="60" t="s">
        <v>109</v>
      </c>
      <c r="E72" s="59" t="s">
        <v>110</v>
      </c>
    </row>
    <row r="73" spans="1:5">
      <c r="A73" s="57" t="s">
        <v>160</v>
      </c>
      <c r="B73" s="57" t="s">
        <v>161</v>
      </c>
      <c r="C73" s="57" t="s">
        <v>162</v>
      </c>
      <c r="D73" s="58">
        <v>20.78</v>
      </c>
      <c r="E73" s="57" t="s">
        <v>24</v>
      </c>
    </row>
    <row r="74" spans="1:5">
      <c r="A74" s="57" t="s">
        <v>163</v>
      </c>
      <c r="B74" s="57" t="s">
        <v>164</v>
      </c>
      <c r="C74" s="57" t="s">
        <v>165</v>
      </c>
      <c r="D74" s="58">
        <v>13.69</v>
      </c>
      <c r="E74" s="57" t="s">
        <v>24</v>
      </c>
    </row>
    <row r="75" spans="1:5">
      <c r="A75" s="57" t="s">
        <v>166</v>
      </c>
      <c r="B75" s="57" t="s">
        <v>164</v>
      </c>
      <c r="C75" s="57" t="s">
        <v>167</v>
      </c>
      <c r="D75" s="58">
        <v>54.37</v>
      </c>
      <c r="E75" s="57" t="s">
        <v>24</v>
      </c>
    </row>
    <row r="76" spans="1:5">
      <c r="A76" s="57" t="s">
        <v>166</v>
      </c>
      <c r="B76" s="57" t="s">
        <v>164</v>
      </c>
      <c r="C76" s="57" t="s">
        <v>168</v>
      </c>
      <c r="D76" s="58">
        <v>53.37</v>
      </c>
      <c r="E76" s="57" t="s">
        <v>24</v>
      </c>
    </row>
    <row r="77" spans="1:5">
      <c r="A77" s="57" t="s">
        <v>169</v>
      </c>
      <c r="B77" s="57" t="s">
        <v>161</v>
      </c>
      <c r="C77" s="57" t="s">
        <v>170</v>
      </c>
      <c r="D77" s="58">
        <v>13.98</v>
      </c>
      <c r="E77" s="57" t="s">
        <v>24</v>
      </c>
    </row>
    <row r="78" spans="1:5">
      <c r="A78" s="57" t="s">
        <v>132</v>
      </c>
      <c r="B78" s="57" t="s">
        <v>171</v>
      </c>
      <c r="C78" s="57" t="s">
        <v>172</v>
      </c>
      <c r="D78" s="58">
        <v>214</v>
      </c>
      <c r="E78" s="57" t="s">
        <v>24</v>
      </c>
    </row>
    <row r="79" spans="1:5">
      <c r="A79" s="57" t="s">
        <v>173</v>
      </c>
      <c r="B79" s="57" t="s">
        <v>164</v>
      </c>
      <c r="C79" s="57" t="s">
        <v>174</v>
      </c>
      <c r="D79" s="58">
        <v>-49.48</v>
      </c>
      <c r="E79" s="57" t="s">
        <v>24</v>
      </c>
    </row>
    <row r="80" spans="1:5">
      <c r="A80" s="57" t="s">
        <v>155</v>
      </c>
      <c r="B80" s="57" t="s">
        <v>164</v>
      </c>
      <c r="C80" s="57" t="s">
        <v>175</v>
      </c>
      <c r="D80" s="58">
        <v>88.19</v>
      </c>
      <c r="E80" s="57" t="s">
        <v>24</v>
      </c>
    </row>
    <row r="81" spans="1:5">
      <c r="A81" s="57" t="s">
        <v>155</v>
      </c>
      <c r="B81" s="57" t="s">
        <v>161</v>
      </c>
      <c r="C81" s="57" t="s">
        <v>176</v>
      </c>
      <c r="D81" s="58">
        <v>53.66</v>
      </c>
      <c r="E81" s="57" t="s">
        <v>24</v>
      </c>
    </row>
    <row r="82" spans="1:5">
      <c r="A82" s="57" t="s">
        <v>177</v>
      </c>
      <c r="B82" s="57" t="s">
        <v>161</v>
      </c>
      <c r="C82" s="57" t="s">
        <v>170</v>
      </c>
      <c r="D82" s="58">
        <v>45.96</v>
      </c>
      <c r="E82" s="57" t="s">
        <v>24</v>
      </c>
    </row>
    <row r="83" spans="1:5">
      <c r="A83" s="57" t="s">
        <v>178</v>
      </c>
      <c r="B83" s="57" t="s">
        <v>179</v>
      </c>
      <c r="C83" s="57" t="s">
        <v>180</v>
      </c>
      <c r="D83" s="58">
        <v>891.8</v>
      </c>
      <c r="E83" s="57" t="s">
        <v>24</v>
      </c>
    </row>
    <row r="84" spans="1:5">
      <c r="A84" s="57" t="s">
        <v>145</v>
      </c>
      <c r="B84" s="57" t="s">
        <v>164</v>
      </c>
      <c r="C84" s="57" t="s">
        <v>181</v>
      </c>
      <c r="D84" s="58">
        <v>19.55</v>
      </c>
      <c r="E84" s="57" t="s">
        <v>24</v>
      </c>
    </row>
    <row r="85" spans="1:5">
      <c r="A85" s="57" t="s">
        <v>182</v>
      </c>
      <c r="B85" s="57" t="s">
        <v>161</v>
      </c>
      <c r="C85" s="57" t="s">
        <v>183</v>
      </c>
      <c r="D85" s="58">
        <v>36.08</v>
      </c>
      <c r="E85" s="57" t="s">
        <v>24</v>
      </c>
    </row>
    <row r="86" spans="1:5">
      <c r="A86" s="57" t="s">
        <v>184</v>
      </c>
      <c r="B86" s="57" t="s">
        <v>185</v>
      </c>
      <c r="C86" s="57" t="s">
        <v>170</v>
      </c>
      <c r="D86" s="58">
        <v>14.84</v>
      </c>
      <c r="E86" s="57" t="s">
        <v>24</v>
      </c>
    </row>
    <row r="87" spans="1:5">
      <c r="A87" s="57" t="s">
        <v>186</v>
      </c>
      <c r="B87" s="57" t="s">
        <v>161</v>
      </c>
      <c r="C87" s="57" t="s">
        <v>170</v>
      </c>
      <c r="D87" s="58">
        <v>68.94</v>
      </c>
      <c r="E87" s="57" t="s">
        <v>24</v>
      </c>
    </row>
    <row r="88" spans="1:5">
      <c r="A88" s="57" t="s">
        <v>187</v>
      </c>
      <c r="B88" s="57" t="s">
        <v>188</v>
      </c>
      <c r="C88" s="57" t="s">
        <v>189</v>
      </c>
      <c r="D88" s="58">
        <v>14.99</v>
      </c>
      <c r="E88" s="57" t="s">
        <v>24</v>
      </c>
    </row>
    <row r="89" spans="1:5">
      <c r="A89" s="57" t="s">
        <v>190</v>
      </c>
      <c r="B89" s="57" t="s">
        <v>161</v>
      </c>
      <c r="C89" s="57" t="s">
        <v>191</v>
      </c>
      <c r="D89" s="58">
        <v>7.21</v>
      </c>
      <c r="E89" s="57" t="s">
        <v>24</v>
      </c>
    </row>
    <row r="90" spans="1:5">
      <c r="A90" s="57" t="s">
        <v>136</v>
      </c>
      <c r="B90" s="57" t="s">
        <v>151</v>
      </c>
      <c r="C90" s="57" t="s">
        <v>192</v>
      </c>
      <c r="D90" s="58">
        <v>117.59</v>
      </c>
      <c r="E90" s="57" t="s">
        <v>24</v>
      </c>
    </row>
    <row r="91" spans="1:5">
      <c r="A91" s="57" t="s">
        <v>166</v>
      </c>
      <c r="B91" s="57" t="s">
        <v>193</v>
      </c>
      <c r="C91" s="57" t="s">
        <v>194</v>
      </c>
      <c r="D91" s="58">
        <v>1819.98</v>
      </c>
      <c r="E91" s="57" t="s">
        <v>195</v>
      </c>
    </row>
    <row r="92" spans="1:5">
      <c r="A92" s="57" t="s">
        <v>196</v>
      </c>
      <c r="B92" s="57" t="s">
        <v>197</v>
      </c>
      <c r="C92" s="57" t="s">
        <v>198</v>
      </c>
      <c r="D92" s="58">
        <v>700</v>
      </c>
      <c r="E92" s="57" t="s">
        <v>195</v>
      </c>
    </row>
    <row r="93" spans="1:5">
      <c r="A93" s="57" t="s">
        <v>199</v>
      </c>
      <c r="B93" s="57" t="s">
        <v>200</v>
      </c>
      <c r="C93" s="57" t="s">
        <v>201</v>
      </c>
      <c r="D93" s="58">
        <v>4074</v>
      </c>
      <c r="E93" s="57" t="s">
        <v>195</v>
      </c>
    </row>
    <row r="94" spans="1:5">
      <c r="A94" s="57" t="s">
        <v>184</v>
      </c>
      <c r="B94" s="57" t="s">
        <v>202</v>
      </c>
      <c r="C94" s="57" t="s">
        <v>203</v>
      </c>
      <c r="D94" s="58">
        <v>1932</v>
      </c>
      <c r="E94" s="57" t="s">
        <v>195</v>
      </c>
    </row>
    <row r="95" spans="1:5">
      <c r="A95" s="57" t="s">
        <v>190</v>
      </c>
      <c r="B95" s="57" t="s">
        <v>122</v>
      </c>
      <c r="C95" s="57" t="s">
        <v>204</v>
      </c>
      <c r="D95" s="58">
        <v>513.5</v>
      </c>
      <c r="E95" s="57" t="s">
        <v>195</v>
      </c>
    </row>
    <row r="96" spans="1:5">
      <c r="A96" s="57" t="s">
        <v>205</v>
      </c>
      <c r="B96" s="57" t="s">
        <v>206</v>
      </c>
      <c r="C96" s="57" t="s">
        <v>207</v>
      </c>
      <c r="D96" s="58">
        <v>2474.2399999999998</v>
      </c>
      <c r="E96" s="57" t="s">
        <v>195</v>
      </c>
    </row>
    <row r="97" spans="1:5">
      <c r="A97" s="57" t="s">
        <v>374</v>
      </c>
      <c r="B97" s="57" t="s">
        <v>161</v>
      </c>
      <c r="C97" s="57" t="s">
        <v>380</v>
      </c>
      <c r="D97" s="58">
        <v>66.91</v>
      </c>
      <c r="E97" s="57" t="s">
        <v>24</v>
      </c>
    </row>
    <row r="98" spans="1:5">
      <c r="A98" s="57" t="s">
        <v>374</v>
      </c>
      <c r="B98" s="57" t="s">
        <v>161</v>
      </c>
      <c r="C98" s="57" t="s">
        <v>381</v>
      </c>
      <c r="D98" s="58">
        <v>548</v>
      </c>
      <c r="E98" s="57" t="s">
        <v>24</v>
      </c>
    </row>
    <row r="99" spans="1:5">
      <c r="A99" s="57" t="s">
        <v>377</v>
      </c>
      <c r="B99" s="57" t="s">
        <v>378</v>
      </c>
      <c r="C99" s="57" t="s">
        <v>379</v>
      </c>
      <c r="D99" s="58">
        <v>525</v>
      </c>
      <c r="E99" s="57" t="s">
        <v>24</v>
      </c>
    </row>
    <row r="100" spans="1:5">
      <c r="A100" s="57" t="s">
        <v>392</v>
      </c>
      <c r="B100" s="57" t="s">
        <v>378</v>
      </c>
      <c r="C100" s="57" t="s">
        <v>379</v>
      </c>
      <c r="D100" s="58">
        <v>525</v>
      </c>
      <c r="E100" s="57" t="s">
        <v>24</v>
      </c>
    </row>
    <row r="102" spans="1:5">
      <c r="D102" s="58">
        <f>SUM(D73:D101)</f>
        <v>14858.15</v>
      </c>
    </row>
    <row r="105" spans="1:5">
      <c r="A105" s="57">
        <v>6022050</v>
      </c>
      <c r="B105" s="57" t="s">
        <v>208</v>
      </c>
    </row>
    <row r="106" spans="1:5">
      <c r="A106" s="59" t="s">
        <v>107</v>
      </c>
      <c r="B106" s="59" t="s">
        <v>108</v>
      </c>
      <c r="C106" s="59" t="s">
        <v>11</v>
      </c>
      <c r="D106" s="60" t="s">
        <v>109</v>
      </c>
      <c r="E106" s="59" t="s">
        <v>110</v>
      </c>
    </row>
    <row r="107" spans="1:5">
      <c r="A107" s="62" t="s">
        <v>209</v>
      </c>
      <c r="B107" s="63" t="s">
        <v>210</v>
      </c>
      <c r="C107" s="63" t="s">
        <v>211</v>
      </c>
      <c r="D107" s="64">
        <v>6202.5</v>
      </c>
      <c r="E107" s="57" t="s">
        <v>130</v>
      </c>
    </row>
    <row r="108" spans="1:5">
      <c r="A108" s="62" t="s">
        <v>212</v>
      </c>
      <c r="B108" s="63" t="s">
        <v>210</v>
      </c>
      <c r="C108" s="63" t="s">
        <v>211</v>
      </c>
      <c r="D108" s="64">
        <v>1043.75</v>
      </c>
      <c r="E108" s="57" t="s">
        <v>130</v>
      </c>
    </row>
    <row r="109" spans="1:5">
      <c r="A109" s="62" t="s">
        <v>213</v>
      </c>
      <c r="B109" s="63" t="s">
        <v>214</v>
      </c>
      <c r="C109" s="63" t="s">
        <v>215</v>
      </c>
      <c r="D109" s="64">
        <v>8872.59</v>
      </c>
      <c r="E109" s="57" t="s">
        <v>130</v>
      </c>
    </row>
    <row r="110" spans="1:5">
      <c r="A110" s="62" t="s">
        <v>124</v>
      </c>
      <c r="B110" s="63" t="s">
        <v>210</v>
      </c>
      <c r="C110" s="63" t="s">
        <v>211</v>
      </c>
      <c r="D110" s="64">
        <v>9457.5499999999993</v>
      </c>
      <c r="E110" s="57" t="s">
        <v>130</v>
      </c>
    </row>
    <row r="111" spans="1:5">
      <c r="A111" s="62" t="s">
        <v>166</v>
      </c>
      <c r="B111" s="63" t="s">
        <v>216</v>
      </c>
      <c r="C111" s="63" t="s">
        <v>217</v>
      </c>
      <c r="D111" s="64">
        <v>67620</v>
      </c>
      <c r="E111" s="57" t="s">
        <v>130</v>
      </c>
    </row>
    <row r="112" spans="1:5">
      <c r="A112" s="62" t="s">
        <v>166</v>
      </c>
      <c r="B112" s="63" t="s">
        <v>210</v>
      </c>
      <c r="C112" s="63" t="s">
        <v>211</v>
      </c>
      <c r="D112" s="64">
        <v>1150</v>
      </c>
      <c r="E112" s="57" t="s">
        <v>130</v>
      </c>
    </row>
    <row r="113" spans="1:5">
      <c r="A113" s="62" t="s">
        <v>218</v>
      </c>
      <c r="B113" s="63" t="s">
        <v>219</v>
      </c>
      <c r="C113" s="63" t="s">
        <v>220</v>
      </c>
      <c r="D113" s="64">
        <v>390</v>
      </c>
      <c r="E113" s="57" t="s">
        <v>130</v>
      </c>
    </row>
    <row r="114" spans="1:5">
      <c r="A114" s="62" t="s">
        <v>221</v>
      </c>
      <c r="B114" s="63" t="s">
        <v>222</v>
      </c>
      <c r="C114" s="63" t="s">
        <v>223</v>
      </c>
      <c r="D114" s="64">
        <v>21931.96</v>
      </c>
      <c r="E114" s="57" t="s">
        <v>130</v>
      </c>
    </row>
    <row r="115" spans="1:5">
      <c r="A115" s="62" t="s">
        <v>224</v>
      </c>
      <c r="B115" s="63" t="s">
        <v>222</v>
      </c>
      <c r="C115" s="63" t="s">
        <v>223</v>
      </c>
      <c r="D115" s="64">
        <v>105082.59</v>
      </c>
      <c r="E115" s="57" t="s">
        <v>130</v>
      </c>
    </row>
    <row r="116" spans="1:5">
      <c r="A116" s="62" t="s">
        <v>225</v>
      </c>
      <c r="B116" s="63" t="s">
        <v>219</v>
      </c>
      <c r="C116" s="63" t="s">
        <v>220</v>
      </c>
      <c r="D116" s="64">
        <v>463.13</v>
      </c>
      <c r="E116" s="57" t="s">
        <v>130</v>
      </c>
    </row>
    <row r="117" spans="1:5">
      <c r="A117" s="62" t="s">
        <v>115</v>
      </c>
      <c r="B117" s="63" t="s">
        <v>226</v>
      </c>
      <c r="C117" s="63" t="s">
        <v>227</v>
      </c>
      <c r="D117" s="64">
        <v>565434</v>
      </c>
      <c r="E117" s="57" t="s">
        <v>130</v>
      </c>
    </row>
    <row r="118" spans="1:5">
      <c r="A118" s="62" t="s">
        <v>228</v>
      </c>
      <c r="B118" s="63" t="s">
        <v>219</v>
      </c>
      <c r="C118" s="63" t="s">
        <v>220</v>
      </c>
      <c r="D118" s="64">
        <v>292.5</v>
      </c>
      <c r="E118" s="57" t="s">
        <v>130</v>
      </c>
    </row>
    <row r="119" spans="1:5">
      <c r="A119" s="62" t="s">
        <v>229</v>
      </c>
      <c r="B119" s="63" t="s">
        <v>210</v>
      </c>
      <c r="C119" s="63" t="s">
        <v>211</v>
      </c>
      <c r="D119" s="64">
        <v>355</v>
      </c>
      <c r="E119" s="57" t="s">
        <v>130</v>
      </c>
    </row>
    <row r="120" spans="1:5">
      <c r="A120" s="62" t="s">
        <v>230</v>
      </c>
      <c r="B120" s="63" t="s">
        <v>231</v>
      </c>
      <c r="C120" s="63" t="s">
        <v>232</v>
      </c>
      <c r="D120" s="64">
        <v>20136</v>
      </c>
      <c r="E120" s="57" t="s">
        <v>130</v>
      </c>
    </row>
    <row r="121" spans="1:5">
      <c r="A121" s="62" t="s">
        <v>233</v>
      </c>
      <c r="B121" s="63" t="s">
        <v>219</v>
      </c>
      <c r="C121" s="63" t="s">
        <v>220</v>
      </c>
      <c r="D121" s="64">
        <v>316.88</v>
      </c>
      <c r="E121" s="57" t="s">
        <v>130</v>
      </c>
    </row>
    <row r="122" spans="1:5">
      <c r="A122" s="62" t="s">
        <v>173</v>
      </c>
      <c r="B122" s="63" t="s">
        <v>210</v>
      </c>
      <c r="C122" s="63" t="s">
        <v>234</v>
      </c>
      <c r="D122" s="64">
        <v>4863.75</v>
      </c>
      <c r="E122" s="57" t="s">
        <v>130</v>
      </c>
    </row>
    <row r="123" spans="1:5">
      <c r="A123" s="62" t="s">
        <v>235</v>
      </c>
      <c r="B123" s="63" t="s">
        <v>226</v>
      </c>
      <c r="C123" s="63" t="s">
        <v>220</v>
      </c>
      <c r="D123" s="64">
        <v>138924</v>
      </c>
      <c r="E123" s="57" t="s">
        <v>130</v>
      </c>
    </row>
    <row r="124" spans="1:5">
      <c r="A124" s="62" t="s">
        <v>235</v>
      </c>
      <c r="B124" s="63" t="s">
        <v>219</v>
      </c>
      <c r="C124" s="63" t="s">
        <v>220</v>
      </c>
      <c r="D124" s="64">
        <v>341.25</v>
      </c>
      <c r="E124" s="57" t="s">
        <v>130</v>
      </c>
    </row>
    <row r="125" spans="1:5">
      <c r="A125" s="62" t="s">
        <v>235</v>
      </c>
      <c r="B125" s="63" t="s">
        <v>210</v>
      </c>
      <c r="C125" s="63" t="s">
        <v>211</v>
      </c>
      <c r="D125" s="64">
        <v>20347.5</v>
      </c>
      <c r="E125" s="57" t="s">
        <v>130</v>
      </c>
    </row>
    <row r="126" spans="1:5">
      <c r="A126" s="62" t="s">
        <v>236</v>
      </c>
      <c r="B126" s="63" t="s">
        <v>210</v>
      </c>
      <c r="C126" s="63" t="s">
        <v>211</v>
      </c>
      <c r="D126" s="64">
        <v>92.5</v>
      </c>
      <c r="E126" s="57" t="s">
        <v>130</v>
      </c>
    </row>
    <row r="127" spans="1:5">
      <c r="A127" s="62" t="s">
        <v>237</v>
      </c>
      <c r="B127" s="63" t="s">
        <v>219</v>
      </c>
      <c r="C127" s="63" t="s">
        <v>220</v>
      </c>
      <c r="D127" s="64">
        <v>390</v>
      </c>
      <c r="E127" s="57" t="s">
        <v>130</v>
      </c>
    </row>
    <row r="128" spans="1:5">
      <c r="A128" s="62" t="s">
        <v>238</v>
      </c>
      <c r="B128" s="63" t="s">
        <v>219</v>
      </c>
      <c r="C128" s="63" t="s">
        <v>220</v>
      </c>
      <c r="D128" s="64">
        <v>438.76</v>
      </c>
      <c r="E128" s="57" t="s">
        <v>130</v>
      </c>
    </row>
    <row r="129" spans="1:5">
      <c r="A129" s="62" t="s">
        <v>239</v>
      </c>
      <c r="B129" s="63" t="s">
        <v>240</v>
      </c>
      <c r="C129" s="63" t="s">
        <v>241</v>
      </c>
      <c r="D129" s="64">
        <v>54130</v>
      </c>
      <c r="E129" s="57" t="s">
        <v>130</v>
      </c>
    </row>
    <row r="130" spans="1:5">
      <c r="A130" s="62" t="s">
        <v>155</v>
      </c>
      <c r="B130" s="63" t="s">
        <v>226</v>
      </c>
      <c r="C130" s="63" t="s">
        <v>220</v>
      </c>
      <c r="D130" s="64">
        <v>432627.12</v>
      </c>
      <c r="E130" s="57" t="s">
        <v>130</v>
      </c>
    </row>
    <row r="131" spans="1:5">
      <c r="A131" s="62" t="s">
        <v>242</v>
      </c>
      <c r="B131" s="63" t="s">
        <v>210</v>
      </c>
      <c r="C131" s="63" t="s">
        <v>211</v>
      </c>
      <c r="D131" s="64">
        <v>12213.75</v>
      </c>
      <c r="E131" s="57" t="s">
        <v>130</v>
      </c>
    </row>
    <row r="132" spans="1:5">
      <c r="A132" s="62" t="s">
        <v>243</v>
      </c>
      <c r="B132" s="63" t="s">
        <v>219</v>
      </c>
      <c r="C132" s="63" t="s">
        <v>220</v>
      </c>
      <c r="D132" s="64">
        <v>341.25</v>
      </c>
      <c r="E132" s="57" t="s">
        <v>130</v>
      </c>
    </row>
    <row r="133" spans="1:5">
      <c r="A133" s="62" t="s">
        <v>243</v>
      </c>
      <c r="B133" s="63" t="s">
        <v>210</v>
      </c>
      <c r="C133" s="63" t="s">
        <v>211</v>
      </c>
      <c r="D133" s="64">
        <v>465</v>
      </c>
      <c r="E133" s="57" t="s">
        <v>130</v>
      </c>
    </row>
    <row r="134" spans="1:5">
      <c r="A134" s="62" t="s">
        <v>244</v>
      </c>
      <c r="B134" s="63" t="s">
        <v>219</v>
      </c>
      <c r="C134" s="63" t="s">
        <v>220</v>
      </c>
      <c r="D134" s="64">
        <v>585</v>
      </c>
      <c r="E134" s="57" t="s">
        <v>130</v>
      </c>
    </row>
    <row r="135" spans="1:5">
      <c r="A135" s="62" t="s">
        <v>245</v>
      </c>
      <c r="B135" s="63" t="s">
        <v>226</v>
      </c>
      <c r="C135" s="63" t="s">
        <v>220</v>
      </c>
      <c r="D135" s="64">
        <v>286154.55</v>
      </c>
      <c r="E135" s="57" t="s">
        <v>130</v>
      </c>
    </row>
    <row r="136" spans="1:5">
      <c r="A136" s="62" t="s">
        <v>246</v>
      </c>
      <c r="B136" s="63" t="s">
        <v>219</v>
      </c>
      <c r="C136" s="63" t="s">
        <v>220</v>
      </c>
      <c r="D136" s="64">
        <v>292.5</v>
      </c>
      <c r="E136" s="57" t="s">
        <v>130</v>
      </c>
    </row>
    <row r="137" spans="1:5">
      <c r="A137" s="62" t="s">
        <v>145</v>
      </c>
      <c r="B137" s="63" t="s">
        <v>210</v>
      </c>
      <c r="C137" s="63" t="s">
        <v>211</v>
      </c>
      <c r="D137" s="64">
        <v>4526.25</v>
      </c>
      <c r="E137" s="57" t="s">
        <v>130</v>
      </c>
    </row>
    <row r="138" spans="1:5">
      <c r="A138" s="62" t="s">
        <v>247</v>
      </c>
      <c r="B138" s="63" t="s">
        <v>219</v>
      </c>
      <c r="C138" s="63" t="s">
        <v>220</v>
      </c>
      <c r="D138" s="64">
        <v>414.38</v>
      </c>
      <c r="E138" s="57" t="s">
        <v>130</v>
      </c>
    </row>
    <row r="139" spans="1:5">
      <c r="A139" s="62" t="s">
        <v>248</v>
      </c>
      <c r="B139" s="63" t="s">
        <v>219</v>
      </c>
      <c r="C139" s="63" t="s">
        <v>220</v>
      </c>
      <c r="D139" s="64">
        <v>414.38</v>
      </c>
      <c r="E139" s="57" t="s">
        <v>130</v>
      </c>
    </row>
    <row r="140" spans="1:5">
      <c r="A140" s="62" t="s">
        <v>249</v>
      </c>
      <c r="B140" s="63" t="s">
        <v>226</v>
      </c>
      <c r="C140" s="63" t="s">
        <v>220</v>
      </c>
      <c r="D140" s="64">
        <v>567612</v>
      </c>
      <c r="E140" s="57" t="s">
        <v>130</v>
      </c>
    </row>
    <row r="141" spans="1:5">
      <c r="A141" s="62" t="s">
        <v>250</v>
      </c>
      <c r="B141" s="63" t="s">
        <v>219</v>
      </c>
      <c r="C141" s="63" t="s">
        <v>220</v>
      </c>
      <c r="D141" s="64">
        <v>243.75</v>
      </c>
      <c r="E141" s="57" t="s">
        <v>130</v>
      </c>
    </row>
    <row r="142" spans="1:5">
      <c r="A142" s="62" t="s">
        <v>250</v>
      </c>
      <c r="B142" s="63" t="s">
        <v>210</v>
      </c>
      <c r="C142" s="63" t="s">
        <v>211</v>
      </c>
      <c r="D142" s="64">
        <v>4331.25</v>
      </c>
      <c r="E142" s="57" t="s">
        <v>130</v>
      </c>
    </row>
    <row r="143" spans="1:5">
      <c r="A143" s="62" t="s">
        <v>251</v>
      </c>
      <c r="B143" s="63" t="s">
        <v>219</v>
      </c>
      <c r="C143" s="63" t="s">
        <v>220</v>
      </c>
      <c r="D143" s="64">
        <v>560.63</v>
      </c>
      <c r="E143" s="57" t="s">
        <v>130</v>
      </c>
    </row>
    <row r="144" spans="1:5">
      <c r="A144" s="62" t="s">
        <v>252</v>
      </c>
      <c r="B144" s="63" t="s">
        <v>122</v>
      </c>
      <c r="C144" s="63" t="s">
        <v>253</v>
      </c>
      <c r="D144" s="64">
        <v>6500</v>
      </c>
      <c r="E144" s="57" t="s">
        <v>130</v>
      </c>
    </row>
    <row r="145" spans="1:5">
      <c r="A145" s="62" t="s">
        <v>254</v>
      </c>
      <c r="B145" s="63" t="s">
        <v>219</v>
      </c>
      <c r="C145" s="63" t="s">
        <v>220</v>
      </c>
      <c r="D145" s="64">
        <v>1048.1400000000001</v>
      </c>
      <c r="E145" s="57" t="s">
        <v>130</v>
      </c>
    </row>
    <row r="146" spans="1:5">
      <c r="A146" s="62" t="s">
        <v>150</v>
      </c>
      <c r="B146" s="63" t="s">
        <v>219</v>
      </c>
      <c r="C146" s="63" t="s">
        <v>220</v>
      </c>
      <c r="D146" s="64">
        <v>316.88</v>
      </c>
      <c r="E146" s="57" t="s">
        <v>130</v>
      </c>
    </row>
    <row r="147" spans="1:5">
      <c r="A147" s="62" t="s">
        <v>376</v>
      </c>
      <c r="B147" s="63" t="s">
        <v>210</v>
      </c>
      <c r="C147" s="63" t="s">
        <v>211</v>
      </c>
      <c r="D147" s="64">
        <v>7865.55</v>
      </c>
      <c r="E147" s="57" t="s">
        <v>130</v>
      </c>
    </row>
    <row r="148" spans="1:5">
      <c r="A148" s="62" t="s">
        <v>382</v>
      </c>
      <c r="B148" s="63" t="s">
        <v>226</v>
      </c>
      <c r="C148" s="63" t="s">
        <v>220</v>
      </c>
      <c r="D148" s="64">
        <v>730413.63</v>
      </c>
      <c r="E148" s="57" t="s">
        <v>130</v>
      </c>
    </row>
    <row r="149" spans="1:5">
      <c r="A149" s="62" t="s">
        <v>383</v>
      </c>
      <c r="B149" s="63" t="s">
        <v>219</v>
      </c>
      <c r="C149" s="63" t="s">
        <v>220</v>
      </c>
      <c r="D149" s="64">
        <v>901.88</v>
      </c>
      <c r="E149" s="57" t="s">
        <v>130</v>
      </c>
    </row>
    <row r="150" spans="1:5">
      <c r="A150" s="62" t="s">
        <v>384</v>
      </c>
      <c r="B150" s="63" t="s">
        <v>219</v>
      </c>
      <c r="C150" s="63" t="s">
        <v>220</v>
      </c>
      <c r="D150" s="64">
        <v>1908.13</v>
      </c>
      <c r="E150" s="57" t="s">
        <v>130</v>
      </c>
    </row>
    <row r="151" spans="1:5">
      <c r="A151" s="62" t="s">
        <v>388</v>
      </c>
      <c r="B151" s="63" t="s">
        <v>226</v>
      </c>
      <c r="C151" s="63" t="s">
        <v>220</v>
      </c>
      <c r="D151" s="64">
        <v>705891.15</v>
      </c>
      <c r="E151" s="57" t="s">
        <v>130</v>
      </c>
    </row>
    <row r="152" spans="1:5">
      <c r="A152" s="62" t="s">
        <v>389</v>
      </c>
      <c r="B152" s="63" t="s">
        <v>210</v>
      </c>
      <c r="C152" s="63" t="s">
        <v>220</v>
      </c>
      <c r="D152" s="64">
        <v>7613.75</v>
      </c>
      <c r="E152" s="57" t="s">
        <v>130</v>
      </c>
    </row>
    <row r="153" spans="1:5">
      <c r="A153" s="62" t="s">
        <v>387</v>
      </c>
      <c r="B153" s="63" t="s">
        <v>219</v>
      </c>
      <c r="C153" s="63" t="s">
        <v>220</v>
      </c>
      <c r="D153" s="64">
        <v>2284.38</v>
      </c>
      <c r="E153" s="57" t="s">
        <v>130</v>
      </c>
    </row>
    <row r="154" spans="1:5">
      <c r="A154" s="62" t="s">
        <v>390</v>
      </c>
      <c r="B154" s="63" t="s">
        <v>219</v>
      </c>
      <c r="C154" s="63" t="s">
        <v>391</v>
      </c>
      <c r="D154" s="64">
        <v>-2212.5100000000002</v>
      </c>
      <c r="E154" s="57" t="s">
        <v>130</v>
      </c>
    </row>
    <row r="155" spans="1:5">
      <c r="A155" s="62"/>
      <c r="B155" s="63"/>
      <c r="C155" s="63"/>
      <c r="D155" s="64"/>
    </row>
    <row r="156" spans="1:5">
      <c r="A156" s="62"/>
      <c r="B156" s="63"/>
      <c r="C156" s="63"/>
      <c r="D156" s="64"/>
    </row>
    <row r="158" spans="1:5">
      <c r="D158" s="58">
        <f>SUM(D107:D157)</f>
        <v>3801588.9999999991</v>
      </c>
    </row>
    <row r="161" spans="1:5">
      <c r="A161" s="57">
        <v>6032000</v>
      </c>
      <c r="B161" s="57" t="s">
        <v>255</v>
      </c>
    </row>
    <row r="162" spans="1:5">
      <c r="A162" s="59" t="s">
        <v>107</v>
      </c>
      <c r="B162" s="59" t="s">
        <v>108</v>
      </c>
      <c r="C162" s="59" t="s">
        <v>11</v>
      </c>
      <c r="D162" s="60" t="s">
        <v>109</v>
      </c>
      <c r="E162" s="59" t="s">
        <v>110</v>
      </c>
    </row>
    <row r="163" spans="1:5">
      <c r="A163" s="62" t="s">
        <v>256</v>
      </c>
      <c r="B163" s="63" t="s">
        <v>257</v>
      </c>
      <c r="C163" s="63" t="s">
        <v>258</v>
      </c>
      <c r="D163" s="65">
        <v>89.98</v>
      </c>
      <c r="E163" s="57" t="s">
        <v>24</v>
      </c>
    </row>
    <row r="164" spans="1:5">
      <c r="A164" s="62" t="s">
        <v>140</v>
      </c>
      <c r="B164" s="63" t="s">
        <v>164</v>
      </c>
      <c r="C164" s="63" t="s">
        <v>259</v>
      </c>
      <c r="D164" s="65">
        <v>30.29</v>
      </c>
      <c r="E164" s="57" t="s">
        <v>24</v>
      </c>
    </row>
    <row r="165" spans="1:5">
      <c r="A165" s="62" t="s">
        <v>212</v>
      </c>
      <c r="B165" s="63" t="s">
        <v>164</v>
      </c>
      <c r="C165" s="63" t="s">
        <v>260</v>
      </c>
      <c r="D165" s="65">
        <v>139.59</v>
      </c>
      <c r="E165" s="57" t="s">
        <v>24</v>
      </c>
    </row>
    <row r="166" spans="1:5">
      <c r="A166" s="62" t="s">
        <v>261</v>
      </c>
      <c r="B166" s="63" t="s">
        <v>262</v>
      </c>
      <c r="C166" s="63" t="s">
        <v>263</v>
      </c>
      <c r="D166" s="65">
        <v>351.27</v>
      </c>
      <c r="E166" s="57" t="s">
        <v>24</v>
      </c>
    </row>
    <row r="167" spans="1:5">
      <c r="A167" s="62" t="s">
        <v>264</v>
      </c>
      <c r="B167" s="63" t="s">
        <v>161</v>
      </c>
      <c r="C167" s="63" t="s">
        <v>265</v>
      </c>
      <c r="D167" s="65">
        <v>11.1</v>
      </c>
      <c r="E167" s="57" t="s">
        <v>24</v>
      </c>
    </row>
    <row r="168" spans="1:5">
      <c r="A168" s="62" t="s">
        <v>266</v>
      </c>
      <c r="B168" s="63" t="s">
        <v>257</v>
      </c>
      <c r="C168" s="63" t="s">
        <v>267</v>
      </c>
      <c r="D168" s="65">
        <v>648.76</v>
      </c>
      <c r="E168" s="57" t="s">
        <v>24</v>
      </c>
    </row>
    <row r="169" spans="1:5">
      <c r="A169" s="62" t="s">
        <v>268</v>
      </c>
      <c r="B169" s="63" t="s">
        <v>269</v>
      </c>
      <c r="C169" s="63" t="s">
        <v>270</v>
      </c>
      <c r="D169" s="65">
        <v>293</v>
      </c>
      <c r="E169" s="57" t="s">
        <v>24</v>
      </c>
    </row>
    <row r="170" spans="1:5">
      <c r="A170" s="62" t="s">
        <v>271</v>
      </c>
      <c r="B170" s="63" t="s">
        <v>164</v>
      </c>
      <c r="C170" s="63" t="s">
        <v>272</v>
      </c>
      <c r="D170" s="65">
        <v>23.55</v>
      </c>
      <c r="E170" s="57" t="s">
        <v>24</v>
      </c>
    </row>
    <row r="171" spans="1:5">
      <c r="A171" s="62" t="s">
        <v>273</v>
      </c>
      <c r="B171" s="63" t="s">
        <v>164</v>
      </c>
      <c r="C171" s="63" t="s">
        <v>274</v>
      </c>
      <c r="D171" s="65">
        <v>730.29</v>
      </c>
      <c r="E171" s="57" t="s">
        <v>24</v>
      </c>
    </row>
    <row r="172" spans="1:5">
      <c r="A172" s="62" t="s">
        <v>273</v>
      </c>
      <c r="B172" s="63" t="s">
        <v>164</v>
      </c>
      <c r="C172" s="63" t="s">
        <v>272</v>
      </c>
      <c r="D172" s="65">
        <v>33.86</v>
      </c>
      <c r="E172" s="57" t="s">
        <v>24</v>
      </c>
    </row>
    <row r="173" spans="1:5">
      <c r="A173" s="62" t="s">
        <v>275</v>
      </c>
      <c r="B173" s="63" t="s">
        <v>276</v>
      </c>
      <c r="C173" s="63" t="s">
        <v>277</v>
      </c>
      <c r="D173" s="65">
        <v>518.03</v>
      </c>
      <c r="E173" s="57" t="s">
        <v>24</v>
      </c>
    </row>
    <row r="174" spans="1:5">
      <c r="A174" s="62" t="s">
        <v>278</v>
      </c>
      <c r="B174" s="63" t="s">
        <v>164</v>
      </c>
      <c r="C174" s="63" t="s">
        <v>279</v>
      </c>
      <c r="D174" s="65">
        <v>15.29</v>
      </c>
      <c r="E174" s="57" t="s">
        <v>24</v>
      </c>
    </row>
    <row r="175" spans="1:5">
      <c r="A175" s="62" t="s">
        <v>280</v>
      </c>
      <c r="B175" s="63" t="s">
        <v>164</v>
      </c>
      <c r="C175" s="63" t="s">
        <v>281</v>
      </c>
      <c r="D175" s="65">
        <v>99.72</v>
      </c>
      <c r="E175" s="57" t="s">
        <v>24</v>
      </c>
    </row>
    <row r="176" spans="1:5">
      <c r="A176" s="62" t="s">
        <v>163</v>
      </c>
      <c r="B176" s="63" t="s">
        <v>164</v>
      </c>
      <c r="C176" s="63" t="s">
        <v>282</v>
      </c>
      <c r="D176" s="65">
        <v>14.1</v>
      </c>
      <c r="E176" s="57" t="s">
        <v>24</v>
      </c>
    </row>
    <row r="177" spans="1:5">
      <c r="A177" s="62" t="s">
        <v>283</v>
      </c>
      <c r="B177" s="63" t="s">
        <v>164</v>
      </c>
      <c r="C177" s="63" t="s">
        <v>284</v>
      </c>
      <c r="D177" s="65">
        <v>318</v>
      </c>
      <c r="E177" s="57" t="s">
        <v>24</v>
      </c>
    </row>
    <row r="178" spans="1:5">
      <c r="A178" s="62" t="s">
        <v>218</v>
      </c>
      <c r="B178" s="63" t="s">
        <v>164</v>
      </c>
      <c r="C178" s="63" t="s">
        <v>285</v>
      </c>
      <c r="D178" s="65">
        <v>20.38</v>
      </c>
      <c r="E178" s="57" t="s">
        <v>24</v>
      </c>
    </row>
    <row r="179" spans="1:5">
      <c r="A179" s="62" t="s">
        <v>196</v>
      </c>
      <c r="B179" s="63" t="s">
        <v>286</v>
      </c>
      <c r="C179" s="63" t="s">
        <v>287</v>
      </c>
      <c r="D179" s="65">
        <v>1060</v>
      </c>
      <c r="E179" s="57" t="s">
        <v>24</v>
      </c>
    </row>
    <row r="180" spans="1:5">
      <c r="A180" s="62" t="s">
        <v>196</v>
      </c>
      <c r="B180" s="63" t="s">
        <v>257</v>
      </c>
      <c r="C180" s="63" t="s">
        <v>288</v>
      </c>
      <c r="D180" s="65">
        <v>19.989999999999998</v>
      </c>
      <c r="E180" s="57" t="s">
        <v>24</v>
      </c>
    </row>
    <row r="181" spans="1:5">
      <c r="A181" s="62" t="s">
        <v>196</v>
      </c>
      <c r="B181" s="63" t="s">
        <v>257</v>
      </c>
      <c r="C181" s="63" t="s">
        <v>289</v>
      </c>
      <c r="D181" s="65">
        <v>199.99</v>
      </c>
      <c r="E181" s="57" t="s">
        <v>24</v>
      </c>
    </row>
    <row r="182" spans="1:5">
      <c r="A182" s="62" t="s">
        <v>196</v>
      </c>
      <c r="B182" s="63" t="s">
        <v>290</v>
      </c>
      <c r="C182" s="63" t="s">
        <v>291</v>
      </c>
      <c r="D182" s="65">
        <v>55.96</v>
      </c>
      <c r="E182" s="57" t="s">
        <v>24</v>
      </c>
    </row>
    <row r="183" spans="1:5">
      <c r="A183" s="62" t="s">
        <v>155</v>
      </c>
      <c r="B183" s="63" t="s">
        <v>286</v>
      </c>
      <c r="C183" s="63" t="s">
        <v>287</v>
      </c>
      <c r="D183" s="65">
        <v>345</v>
      </c>
      <c r="E183" s="57" t="s">
        <v>24</v>
      </c>
    </row>
    <row r="184" spans="1:5">
      <c r="A184" s="62" t="s">
        <v>155</v>
      </c>
      <c r="B184" s="63" t="s">
        <v>122</v>
      </c>
      <c r="C184" s="63" t="s">
        <v>292</v>
      </c>
      <c r="D184" s="65">
        <v>419.1</v>
      </c>
      <c r="E184" s="57" t="s">
        <v>24</v>
      </c>
    </row>
    <row r="185" spans="1:5">
      <c r="A185" s="62" t="s">
        <v>155</v>
      </c>
      <c r="B185" s="63" t="s">
        <v>222</v>
      </c>
      <c r="C185" s="63" t="s">
        <v>293</v>
      </c>
      <c r="D185" s="65">
        <v>142.97</v>
      </c>
      <c r="E185" s="57" t="s">
        <v>24</v>
      </c>
    </row>
    <row r="186" spans="1:5">
      <c r="A186" s="62" t="s">
        <v>186</v>
      </c>
      <c r="B186" s="63" t="s">
        <v>262</v>
      </c>
      <c r="C186" s="63" t="s">
        <v>294</v>
      </c>
      <c r="D186" s="65">
        <v>68.64</v>
      </c>
      <c r="E186" s="57" t="s">
        <v>24</v>
      </c>
    </row>
    <row r="187" spans="1:5">
      <c r="A187" s="62" t="s">
        <v>249</v>
      </c>
      <c r="B187" s="63" t="s">
        <v>164</v>
      </c>
      <c r="C187" s="63" t="s">
        <v>284</v>
      </c>
      <c r="D187" s="65">
        <v>100.89</v>
      </c>
      <c r="E187" s="57" t="s">
        <v>24</v>
      </c>
    </row>
    <row r="188" spans="1:5">
      <c r="A188" s="62" t="s">
        <v>137</v>
      </c>
      <c r="B188" s="63" t="s">
        <v>164</v>
      </c>
      <c r="C188" s="63" t="s">
        <v>295</v>
      </c>
      <c r="D188" s="65">
        <v>4172.3999999999996</v>
      </c>
      <c r="E188" s="57" t="s">
        <v>296</v>
      </c>
    </row>
    <row r="189" spans="1:5">
      <c r="A189" s="62" t="s">
        <v>297</v>
      </c>
      <c r="B189" s="63" t="s">
        <v>222</v>
      </c>
      <c r="C189" s="63" t="s">
        <v>298</v>
      </c>
      <c r="D189" s="65">
        <v>3669.25</v>
      </c>
      <c r="E189" s="57" t="s">
        <v>299</v>
      </c>
    </row>
    <row r="190" spans="1:5">
      <c r="A190" s="62" t="s">
        <v>300</v>
      </c>
      <c r="B190" s="63" t="s">
        <v>301</v>
      </c>
      <c r="C190" s="63" t="s">
        <v>302</v>
      </c>
      <c r="D190" s="65">
        <v>4415.45</v>
      </c>
      <c r="E190" s="57" t="s">
        <v>303</v>
      </c>
    </row>
    <row r="191" spans="1:5">
      <c r="A191" s="62" t="s">
        <v>304</v>
      </c>
      <c r="B191" s="63" t="s">
        <v>305</v>
      </c>
      <c r="C191" s="63" t="s">
        <v>306</v>
      </c>
      <c r="D191" s="65">
        <v>5114</v>
      </c>
      <c r="E191" s="57" t="s">
        <v>307</v>
      </c>
    </row>
    <row r="192" spans="1:5">
      <c r="A192" s="62" t="s">
        <v>374</v>
      </c>
      <c r="B192" s="63" t="s">
        <v>161</v>
      </c>
      <c r="C192" s="63" t="s">
        <v>385</v>
      </c>
      <c r="D192" s="65">
        <v>129</v>
      </c>
      <c r="E192" s="57" t="s">
        <v>24</v>
      </c>
    </row>
    <row r="193" spans="1:6">
      <c r="A193" s="57" t="s">
        <v>387</v>
      </c>
      <c r="B193" s="57" t="s">
        <v>222</v>
      </c>
      <c r="D193" s="58">
        <v>1708.65</v>
      </c>
      <c r="E193" s="57" t="s">
        <v>7</v>
      </c>
    </row>
    <row r="195" spans="1:6">
      <c r="D195" s="58">
        <f>SUM(D163:D194)</f>
        <v>24958.500000000004</v>
      </c>
    </row>
    <row r="197" spans="1:6">
      <c r="A197" s="57">
        <v>60322050</v>
      </c>
      <c r="B197" s="57" t="s">
        <v>308</v>
      </c>
    </row>
    <row r="198" spans="1:6">
      <c r="A198" s="59" t="s">
        <v>107</v>
      </c>
      <c r="B198" s="59" t="s">
        <v>108</v>
      </c>
      <c r="C198" s="59" t="s">
        <v>11</v>
      </c>
      <c r="D198" s="60" t="s">
        <v>109</v>
      </c>
      <c r="E198" s="59" t="s">
        <v>110</v>
      </c>
    </row>
    <row r="199" spans="1:6">
      <c r="A199" s="62" t="s">
        <v>312</v>
      </c>
      <c r="B199" s="63" t="s">
        <v>313</v>
      </c>
      <c r="C199" s="63" t="s">
        <v>314</v>
      </c>
      <c r="D199" s="66">
        <v>48902</v>
      </c>
      <c r="E199" s="57" t="s">
        <v>315</v>
      </c>
      <c r="F199" s="57" t="s">
        <v>412</v>
      </c>
    </row>
    <row r="200" spans="1:6">
      <c r="A200" s="62" t="s">
        <v>312</v>
      </c>
      <c r="B200" s="63" t="s">
        <v>313</v>
      </c>
      <c r="C200" s="63" t="s">
        <v>316</v>
      </c>
      <c r="D200" s="66">
        <v>50250</v>
      </c>
      <c r="E200" s="57" t="s">
        <v>315</v>
      </c>
      <c r="F200" s="57" t="s">
        <v>412</v>
      </c>
    </row>
    <row r="201" spans="1:6">
      <c r="A201" s="62" t="s">
        <v>312</v>
      </c>
      <c r="B201" s="63" t="s">
        <v>313</v>
      </c>
      <c r="C201" s="63" t="s">
        <v>333</v>
      </c>
      <c r="D201" s="65">
        <v>49550</v>
      </c>
      <c r="E201" s="57" t="s">
        <v>334</v>
      </c>
      <c r="F201" s="57" t="s">
        <v>413</v>
      </c>
    </row>
    <row r="202" spans="1:6">
      <c r="A202" s="62" t="s">
        <v>340</v>
      </c>
      <c r="B202" s="63" t="s">
        <v>309</v>
      </c>
      <c r="C202" s="63" t="s">
        <v>341</v>
      </c>
      <c r="D202" s="65">
        <v>6299.17</v>
      </c>
      <c r="E202" s="57" t="s">
        <v>342</v>
      </c>
      <c r="F202" s="57" t="s">
        <v>409</v>
      </c>
    </row>
    <row r="203" spans="1:6">
      <c r="A203" s="62" t="s">
        <v>317</v>
      </c>
      <c r="B203" s="63" t="s">
        <v>269</v>
      </c>
      <c r="C203" s="63" t="s">
        <v>318</v>
      </c>
      <c r="D203" s="66">
        <v>11572</v>
      </c>
      <c r="E203" s="57" t="s">
        <v>315</v>
      </c>
      <c r="F203" s="57" t="s">
        <v>412</v>
      </c>
    </row>
    <row r="204" spans="1:6">
      <c r="A204" s="62" t="s">
        <v>319</v>
      </c>
      <c r="B204" s="63" t="s">
        <v>320</v>
      </c>
      <c r="C204" s="63" t="s">
        <v>321</v>
      </c>
      <c r="D204" s="66">
        <v>14560.88</v>
      </c>
      <c r="E204" s="57" t="s">
        <v>315</v>
      </c>
      <c r="F204" s="57" t="s">
        <v>412</v>
      </c>
    </row>
    <row r="205" spans="1:6">
      <c r="A205" s="62" t="s">
        <v>166</v>
      </c>
      <c r="B205" s="63" t="s">
        <v>320</v>
      </c>
      <c r="C205" s="63" t="s">
        <v>322</v>
      </c>
      <c r="D205" s="66">
        <v>15777.45</v>
      </c>
      <c r="E205" s="57" t="s">
        <v>315</v>
      </c>
      <c r="F205" s="57" t="s">
        <v>413</v>
      </c>
    </row>
    <row r="206" spans="1:6">
      <c r="A206" s="62" t="s">
        <v>323</v>
      </c>
      <c r="B206" s="63" t="s">
        <v>324</v>
      </c>
      <c r="C206" s="63" t="s">
        <v>325</v>
      </c>
      <c r="D206" s="66">
        <v>50000</v>
      </c>
      <c r="E206" s="57" t="s">
        <v>326</v>
      </c>
      <c r="F206" s="57" t="s">
        <v>414</v>
      </c>
    </row>
    <row r="207" spans="1:6">
      <c r="A207" s="62" t="s">
        <v>173</v>
      </c>
      <c r="B207" s="63" t="s">
        <v>122</v>
      </c>
      <c r="C207" s="63" t="s">
        <v>330</v>
      </c>
      <c r="D207" s="65">
        <v>17675</v>
      </c>
      <c r="E207" s="57" t="s">
        <v>331</v>
      </c>
      <c r="F207" s="57" t="s">
        <v>411</v>
      </c>
    </row>
    <row r="208" spans="1:6">
      <c r="A208" s="62" t="s">
        <v>239</v>
      </c>
      <c r="B208" s="63" t="s">
        <v>328</v>
      </c>
      <c r="C208" s="63" t="s">
        <v>335</v>
      </c>
      <c r="D208" s="65">
        <v>18490</v>
      </c>
      <c r="E208" s="57" t="s">
        <v>334</v>
      </c>
    </row>
    <row r="209" spans="1:6">
      <c r="A209" s="62" t="s">
        <v>327</v>
      </c>
      <c r="B209" s="63" t="s">
        <v>328</v>
      </c>
      <c r="C209" s="63" t="s">
        <v>329</v>
      </c>
      <c r="D209" s="66">
        <v>18698.009999999998</v>
      </c>
      <c r="E209" s="57" t="s">
        <v>326</v>
      </c>
      <c r="F209" s="57" t="s">
        <v>414</v>
      </c>
    </row>
    <row r="210" spans="1:6">
      <c r="A210" s="62" t="s">
        <v>327</v>
      </c>
      <c r="B210" s="63" t="s">
        <v>343</v>
      </c>
      <c r="C210" s="63" t="s">
        <v>344</v>
      </c>
      <c r="D210" s="65">
        <v>26741</v>
      </c>
      <c r="E210" s="57" t="s">
        <v>410</v>
      </c>
      <c r="F210" s="57" t="s">
        <v>418</v>
      </c>
    </row>
    <row r="211" spans="1:6">
      <c r="A211" s="62" t="s">
        <v>190</v>
      </c>
      <c r="B211" s="63" t="s">
        <v>309</v>
      </c>
      <c r="C211" s="63" t="s">
        <v>310</v>
      </c>
      <c r="D211" s="65">
        <v>17486.25</v>
      </c>
      <c r="E211" s="57" t="s">
        <v>311</v>
      </c>
      <c r="F211" s="57" t="s">
        <v>416</v>
      </c>
    </row>
    <row r="212" spans="1:6">
      <c r="A212" s="62" t="s">
        <v>190</v>
      </c>
      <c r="B212" s="63" t="s">
        <v>309</v>
      </c>
      <c r="C212" s="63" t="s">
        <v>310</v>
      </c>
      <c r="D212" s="65">
        <v>17486.25</v>
      </c>
      <c r="E212" s="57" t="s">
        <v>311</v>
      </c>
      <c r="F212" s="57" t="s">
        <v>415</v>
      </c>
    </row>
    <row r="213" spans="1:6">
      <c r="A213" s="62" t="s">
        <v>250</v>
      </c>
      <c r="B213" s="63" t="s">
        <v>122</v>
      </c>
      <c r="C213" s="63" t="s">
        <v>332</v>
      </c>
      <c r="D213" s="65">
        <v>16025</v>
      </c>
      <c r="E213" s="57" t="s">
        <v>331</v>
      </c>
      <c r="F213" s="57" t="s">
        <v>411</v>
      </c>
    </row>
    <row r="214" spans="1:6">
      <c r="A214" s="62" t="s">
        <v>336</v>
      </c>
      <c r="B214" s="63" t="s">
        <v>337</v>
      </c>
      <c r="C214" s="63" t="s">
        <v>338</v>
      </c>
      <c r="D214" s="65">
        <v>26738</v>
      </c>
      <c r="E214" s="57" t="s">
        <v>339</v>
      </c>
      <c r="F214" s="57" t="s">
        <v>417</v>
      </c>
    </row>
    <row r="215" spans="1:6">
      <c r="A215" s="57" t="s">
        <v>386</v>
      </c>
      <c r="B215" s="57" t="s">
        <v>122</v>
      </c>
      <c r="C215" s="63" t="s">
        <v>332</v>
      </c>
      <c r="D215" s="58">
        <v>48075</v>
      </c>
      <c r="E215" s="57" t="s">
        <v>331</v>
      </c>
      <c r="F215" s="57" t="s">
        <v>411</v>
      </c>
    </row>
    <row r="218" spans="1:6">
      <c r="A218" s="57">
        <v>6081800</v>
      </c>
      <c r="B218" s="57" t="s">
        <v>345</v>
      </c>
    </row>
    <row r="219" spans="1:6">
      <c r="A219" s="59" t="s">
        <v>107</v>
      </c>
      <c r="B219" s="59" t="s">
        <v>108</v>
      </c>
      <c r="C219" s="59" t="s">
        <v>11</v>
      </c>
      <c r="D219" s="60" t="s">
        <v>109</v>
      </c>
      <c r="E219" s="59" t="s">
        <v>110</v>
      </c>
    </row>
    <row r="220" spans="1:6">
      <c r="A220" s="57" t="s">
        <v>312</v>
      </c>
      <c r="B220" s="57" t="s">
        <v>346</v>
      </c>
      <c r="C220" s="57" t="s">
        <v>347</v>
      </c>
      <c r="D220" s="58">
        <v>820</v>
      </c>
      <c r="E220" s="57" t="s">
        <v>6</v>
      </c>
    </row>
    <row r="221" spans="1:6">
      <c r="A221" s="57" t="s">
        <v>115</v>
      </c>
      <c r="B221" s="57" t="s">
        <v>348</v>
      </c>
      <c r="C221" s="57" t="s">
        <v>349</v>
      </c>
      <c r="D221" s="58">
        <v>60</v>
      </c>
      <c r="E221" s="57" t="s">
        <v>6</v>
      </c>
    </row>
    <row r="222" spans="1:6">
      <c r="A222" s="57" t="s">
        <v>173</v>
      </c>
      <c r="B222" s="57" t="s">
        <v>350</v>
      </c>
      <c r="C222" s="57" t="s">
        <v>351</v>
      </c>
      <c r="D222" s="58">
        <v>84.95</v>
      </c>
      <c r="E222" s="57" t="s">
        <v>6</v>
      </c>
    </row>
    <row r="223" spans="1:6">
      <c r="A223" s="57" t="s">
        <v>352</v>
      </c>
      <c r="B223" s="57" t="s">
        <v>353</v>
      </c>
      <c r="C223" s="57" t="s">
        <v>354</v>
      </c>
      <c r="D223" s="58">
        <v>50</v>
      </c>
      <c r="E223" s="57" t="s">
        <v>6</v>
      </c>
    </row>
    <row r="224" spans="1:6">
      <c r="A224" s="57" t="s">
        <v>352</v>
      </c>
      <c r="B224" s="57" t="s">
        <v>355</v>
      </c>
      <c r="C224" s="57" t="s">
        <v>354</v>
      </c>
      <c r="D224" s="58">
        <v>150</v>
      </c>
      <c r="E224" s="57" t="s">
        <v>6</v>
      </c>
    </row>
    <row r="225" spans="1:5">
      <c r="A225" s="57" t="s">
        <v>155</v>
      </c>
      <c r="B225" s="57" t="s">
        <v>257</v>
      </c>
      <c r="C225" s="57" t="s">
        <v>356</v>
      </c>
      <c r="D225" s="58">
        <v>1232.55</v>
      </c>
      <c r="E225" s="57" t="s">
        <v>6</v>
      </c>
    </row>
    <row r="226" spans="1:5">
      <c r="A226" s="57" t="s">
        <v>134</v>
      </c>
      <c r="B226" s="57" t="s">
        <v>357</v>
      </c>
      <c r="C226" s="57" t="s">
        <v>358</v>
      </c>
      <c r="D226" s="58">
        <v>800</v>
      </c>
      <c r="E226" s="57" t="s">
        <v>6</v>
      </c>
    </row>
    <row r="227" spans="1:5">
      <c r="A227" s="57" t="s">
        <v>359</v>
      </c>
      <c r="B227" s="57" t="s">
        <v>360</v>
      </c>
      <c r="C227" s="57" t="s">
        <v>361</v>
      </c>
      <c r="D227" s="58">
        <v>5032</v>
      </c>
      <c r="E227" s="57" t="s">
        <v>6</v>
      </c>
    </row>
    <row r="228" spans="1:5">
      <c r="A228" s="57" t="s">
        <v>243</v>
      </c>
      <c r="B228" s="57" t="s">
        <v>362</v>
      </c>
      <c r="C228" s="57" t="s">
        <v>363</v>
      </c>
      <c r="D228" s="58">
        <v>2160</v>
      </c>
      <c r="E228" s="57" t="s">
        <v>6</v>
      </c>
    </row>
    <row r="229" spans="1:5">
      <c r="A229" s="57" t="s">
        <v>121</v>
      </c>
      <c r="B229" s="57" t="s">
        <v>364</v>
      </c>
      <c r="C229" s="57" t="s">
        <v>365</v>
      </c>
      <c r="D229" s="58">
        <v>98.4</v>
      </c>
      <c r="E229" s="57" t="s">
        <v>6</v>
      </c>
    </row>
    <row r="231" spans="1:5">
      <c r="D231" s="58">
        <f>SUM(D220:D230)</f>
        <v>10487.9</v>
      </c>
    </row>
    <row r="233" spans="1:5">
      <c r="A233" s="57">
        <v>6082050</v>
      </c>
      <c r="B233" s="57" t="s">
        <v>366</v>
      </c>
    </row>
    <row r="234" spans="1:5">
      <c r="A234" s="59" t="s">
        <v>107</v>
      </c>
      <c r="B234" s="59" t="s">
        <v>108</v>
      </c>
      <c r="C234" s="59" t="s">
        <v>11</v>
      </c>
      <c r="D234" s="60" t="s">
        <v>109</v>
      </c>
      <c r="E234" s="59" t="s">
        <v>110</v>
      </c>
    </row>
    <row r="235" spans="1:5">
      <c r="A235" s="57" t="s">
        <v>312</v>
      </c>
      <c r="B235" s="57" t="s">
        <v>367</v>
      </c>
      <c r="C235" s="57" t="s">
        <v>368</v>
      </c>
      <c r="D235" s="58">
        <v>12498</v>
      </c>
      <c r="E235" s="57" t="s">
        <v>369</v>
      </c>
    </row>
  </sheetData>
  <sortState xmlns:xlrd2="http://schemas.microsoft.com/office/spreadsheetml/2017/richdata2" ref="A199:E214">
    <sortCondition ref="A199:A214"/>
  </sortState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F67B7-44E7-4BE7-AC4C-E8CEF34CCF81}">
  <sheetPr>
    <pageSetUpPr fitToPage="1"/>
  </sheetPr>
  <dimension ref="A1:AV40"/>
  <sheetViews>
    <sheetView workbookViewId="0"/>
  </sheetViews>
  <sheetFormatPr defaultRowHeight="15"/>
  <cols>
    <col min="1" max="1" width="29.42578125" customWidth="1"/>
    <col min="2" max="2" width="10.5703125" style="1" bestFit="1" customWidth="1"/>
    <col min="3" max="4" width="10.5703125" style="1" customWidth="1"/>
    <col min="5" max="5" width="2.7109375" style="1" customWidth="1"/>
    <col min="6" max="6" width="10.5703125" style="1" bestFit="1" customWidth="1"/>
    <col min="7" max="7" width="10.5703125" bestFit="1" customWidth="1"/>
    <col min="8" max="8" width="11.28515625" bestFit="1" customWidth="1"/>
    <col min="9" max="9" width="2.7109375" style="1" customWidth="1"/>
    <col min="10" max="10" width="10.5703125" style="1" bestFit="1" customWidth="1"/>
    <col min="11" max="11" width="10.5703125" bestFit="1" customWidth="1"/>
    <col min="12" max="12" width="11.28515625" bestFit="1" customWidth="1"/>
    <col min="13" max="13" width="2.7109375" style="1" customWidth="1"/>
    <col min="14" max="14" width="10.5703125" style="1" bestFit="1" customWidth="1"/>
    <col min="15" max="15" width="10.5703125" bestFit="1" customWidth="1"/>
    <col min="16" max="16" width="11.28515625" bestFit="1" customWidth="1"/>
    <col min="17" max="17" width="2.7109375" style="1" customWidth="1"/>
    <col min="18" max="18" width="10.5703125" style="1" bestFit="1" customWidth="1"/>
    <col min="19" max="19" width="10.5703125" bestFit="1" customWidth="1"/>
    <col min="20" max="20" width="11.28515625" bestFit="1" customWidth="1"/>
    <col min="21" max="21" width="2.7109375" style="1" customWidth="1"/>
    <col min="22" max="22" width="10.5703125" style="1" bestFit="1" customWidth="1"/>
    <col min="23" max="23" width="10.5703125" bestFit="1" customWidth="1"/>
    <col min="24" max="24" width="11.28515625" bestFit="1" customWidth="1"/>
    <col min="25" max="25" width="2.7109375" style="1" customWidth="1"/>
    <col min="26" max="26" width="10.5703125" style="1" bestFit="1" customWidth="1"/>
    <col min="27" max="27" width="10.5703125" bestFit="1" customWidth="1"/>
    <col min="28" max="28" width="11.28515625" bestFit="1" customWidth="1"/>
    <col min="29" max="29" width="2.7109375" style="1" customWidth="1"/>
    <col min="30" max="30" width="10.5703125" style="1" bestFit="1" customWidth="1"/>
    <col min="31" max="31" width="10.5703125" bestFit="1" customWidth="1"/>
    <col min="32" max="32" width="11.28515625" bestFit="1" customWidth="1"/>
    <col min="33" max="33" width="2.7109375" style="1" customWidth="1"/>
    <col min="34" max="34" width="10.5703125" style="1" bestFit="1" customWidth="1"/>
    <col min="35" max="35" width="10.5703125" bestFit="1" customWidth="1"/>
    <col min="36" max="36" width="11.28515625" bestFit="1" customWidth="1"/>
    <col min="37" max="37" width="2.7109375" style="1" customWidth="1"/>
    <col min="38" max="38" width="10.5703125" style="1" bestFit="1" customWidth="1"/>
    <col min="39" max="39" width="10.5703125" bestFit="1" customWidth="1"/>
    <col min="40" max="40" width="11.28515625" bestFit="1" customWidth="1"/>
    <col min="41" max="41" width="2.7109375" style="1" customWidth="1"/>
    <col min="42" max="42" width="10.5703125" style="1" bestFit="1" customWidth="1"/>
    <col min="43" max="43" width="10.5703125" bestFit="1" customWidth="1"/>
    <col min="44" max="44" width="11.28515625" bestFit="1" customWidth="1"/>
    <col min="46" max="46" width="13.85546875" bestFit="1" customWidth="1"/>
    <col min="47" max="48" width="9.5703125" bestFit="1" customWidth="1"/>
  </cols>
  <sheetData>
    <row r="1" spans="1:48">
      <c r="B1" s="98" t="s">
        <v>73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8"/>
    </row>
    <row r="2" spans="1:48">
      <c r="B2" s="98" t="s">
        <v>74</v>
      </c>
      <c r="C2" s="98"/>
      <c r="D2" s="98"/>
      <c r="E2" s="49"/>
      <c r="F2" s="98" t="s">
        <v>75</v>
      </c>
      <c r="G2" s="98"/>
      <c r="H2" s="98"/>
      <c r="I2" s="49"/>
      <c r="J2" s="98" t="s">
        <v>76</v>
      </c>
      <c r="K2" s="98"/>
      <c r="L2" s="98"/>
      <c r="M2" s="49"/>
      <c r="N2" s="98" t="s">
        <v>77</v>
      </c>
      <c r="O2" s="98"/>
      <c r="P2" s="98"/>
      <c r="Q2" s="49"/>
      <c r="R2" s="98" t="s">
        <v>78</v>
      </c>
      <c r="S2" s="98"/>
      <c r="T2" s="98"/>
      <c r="U2" s="49"/>
      <c r="V2" s="98" t="s">
        <v>102</v>
      </c>
      <c r="W2" s="98"/>
      <c r="X2" s="98"/>
      <c r="Y2" s="49"/>
      <c r="Z2" s="98" t="s">
        <v>104</v>
      </c>
      <c r="AA2" s="98"/>
      <c r="AB2" s="98"/>
      <c r="AC2" s="49"/>
      <c r="AD2" s="98" t="s">
        <v>370</v>
      </c>
      <c r="AE2" s="98"/>
      <c r="AF2" s="98"/>
      <c r="AG2" s="49"/>
      <c r="AH2" s="98" t="s">
        <v>408</v>
      </c>
      <c r="AI2" s="98"/>
      <c r="AJ2" s="98"/>
      <c r="AK2" s="49"/>
      <c r="AL2" s="98" t="s">
        <v>419</v>
      </c>
      <c r="AM2" s="98"/>
      <c r="AN2" s="98"/>
      <c r="AO2" s="49"/>
      <c r="AP2" s="98" t="s">
        <v>420</v>
      </c>
      <c r="AQ2" s="98"/>
      <c r="AR2" s="98"/>
      <c r="AT2" s="2" t="s">
        <v>79</v>
      </c>
    </row>
    <row r="3" spans="1:48">
      <c r="A3" s="50" t="s">
        <v>80</v>
      </c>
      <c r="B3" s="51" t="s">
        <v>81</v>
      </c>
      <c r="C3" s="51" t="s">
        <v>82</v>
      </c>
      <c r="D3" s="51" t="s">
        <v>72</v>
      </c>
      <c r="E3" s="52"/>
      <c r="F3" s="51" t="s">
        <v>81</v>
      </c>
      <c r="G3" s="51" t="s">
        <v>82</v>
      </c>
      <c r="H3" s="51" t="s">
        <v>72</v>
      </c>
      <c r="I3" s="52"/>
      <c r="J3" s="51" t="s">
        <v>81</v>
      </c>
      <c r="K3" s="51" t="s">
        <v>82</v>
      </c>
      <c r="L3" s="51" t="s">
        <v>72</v>
      </c>
      <c r="M3" s="52"/>
      <c r="N3" s="51" t="s">
        <v>81</v>
      </c>
      <c r="O3" s="51" t="s">
        <v>82</v>
      </c>
      <c r="P3" s="51" t="s">
        <v>72</v>
      </c>
      <c r="Q3" s="52"/>
      <c r="R3" s="51" t="s">
        <v>81</v>
      </c>
      <c r="S3" s="51" t="s">
        <v>82</v>
      </c>
      <c r="T3" s="51" t="s">
        <v>72</v>
      </c>
      <c r="U3" s="52"/>
      <c r="V3" s="51" t="s">
        <v>81</v>
      </c>
      <c r="W3" s="51" t="s">
        <v>82</v>
      </c>
      <c r="X3" s="51" t="s">
        <v>72</v>
      </c>
      <c r="Y3" s="52"/>
      <c r="Z3" s="51" t="s">
        <v>81</v>
      </c>
      <c r="AA3" s="51" t="s">
        <v>82</v>
      </c>
      <c r="AB3" s="51" t="s">
        <v>72</v>
      </c>
      <c r="AC3" s="52"/>
      <c r="AD3" s="51" t="s">
        <v>81</v>
      </c>
      <c r="AE3" s="51" t="s">
        <v>82</v>
      </c>
      <c r="AF3" s="51" t="s">
        <v>72</v>
      </c>
      <c r="AG3" s="52"/>
      <c r="AH3" s="51" t="s">
        <v>81</v>
      </c>
      <c r="AI3" s="51" t="s">
        <v>82</v>
      </c>
      <c r="AJ3" s="51" t="s">
        <v>72</v>
      </c>
      <c r="AK3" s="52"/>
      <c r="AL3" s="51" t="s">
        <v>81</v>
      </c>
      <c r="AM3" s="51" t="s">
        <v>82</v>
      </c>
      <c r="AN3" s="51" t="s">
        <v>72</v>
      </c>
      <c r="AO3" s="52"/>
      <c r="AP3" s="51" t="s">
        <v>81</v>
      </c>
      <c r="AQ3" s="51" t="s">
        <v>82</v>
      </c>
      <c r="AR3" s="51" t="s">
        <v>72</v>
      </c>
      <c r="AT3" s="53" t="s">
        <v>83</v>
      </c>
    </row>
    <row r="4" spans="1:48">
      <c r="A4" t="s">
        <v>84</v>
      </c>
      <c r="B4" s="1" t="e">
        <f>+#REF!</f>
        <v>#REF!</v>
      </c>
      <c r="C4" s="1" t="e">
        <f>+#REF!</f>
        <v>#REF!</v>
      </c>
      <c r="D4" s="1" t="e">
        <f t="shared" ref="D4:D14" si="0">+B4-C4</f>
        <v>#REF!</v>
      </c>
      <c r="E4" s="54"/>
      <c r="F4" s="1" t="e">
        <f>+#REF!</f>
        <v>#REF!</v>
      </c>
      <c r="G4" s="1" t="e">
        <f>+#REF!</f>
        <v>#REF!</v>
      </c>
      <c r="H4" s="1" t="e">
        <f t="shared" ref="H4:H14" si="1">+F4-G4</f>
        <v>#REF!</v>
      </c>
      <c r="I4" s="54"/>
      <c r="J4" s="1" t="e">
        <f>+#REF!</f>
        <v>#REF!</v>
      </c>
      <c r="K4" s="1" t="e">
        <f>+#REF!</f>
        <v>#REF!</v>
      </c>
      <c r="L4" s="1" t="e">
        <f t="shared" ref="L4:L14" si="2">+J4-K4</f>
        <v>#REF!</v>
      </c>
      <c r="M4" s="54"/>
      <c r="N4" s="1" t="e">
        <f>+#REF!</f>
        <v>#REF!</v>
      </c>
      <c r="O4" s="1" t="e">
        <f>+#REF!</f>
        <v>#REF!</v>
      </c>
      <c r="P4" s="1" t="e">
        <f t="shared" ref="P4:P14" si="3">+N4-O4</f>
        <v>#REF!</v>
      </c>
      <c r="Q4" s="54"/>
      <c r="R4" s="1" t="e">
        <f>+#REF!</f>
        <v>#REF!</v>
      </c>
      <c r="S4" s="1" t="e">
        <f>+#REF!</f>
        <v>#REF!</v>
      </c>
      <c r="T4" s="1" t="e">
        <f t="shared" ref="T4:T14" si="4">+R4-S4</f>
        <v>#REF!</v>
      </c>
      <c r="U4" s="54"/>
      <c r="V4" s="1" t="e">
        <f>+#REF!</f>
        <v>#REF!</v>
      </c>
      <c r="W4" s="1" t="e">
        <f>+#REF!</f>
        <v>#REF!</v>
      </c>
      <c r="X4" s="1" t="e">
        <f t="shared" ref="X4:X14" si="5">+V4-W4</f>
        <v>#REF!</v>
      </c>
      <c r="Y4" s="54"/>
      <c r="Z4" s="1" t="e">
        <f>+#REF!</f>
        <v>#REF!</v>
      </c>
      <c r="AA4" s="1" t="e">
        <f>+#REF!</f>
        <v>#REF!</v>
      </c>
      <c r="AB4" s="1" t="e">
        <f t="shared" ref="AB4:AB14" si="6">+Z4-AA4</f>
        <v>#REF!</v>
      </c>
      <c r="AC4" s="54"/>
      <c r="AD4" s="1" t="e">
        <f>+#REF!</f>
        <v>#REF!</v>
      </c>
      <c r="AE4" s="1" t="e">
        <f>+#REF!</f>
        <v>#REF!</v>
      </c>
      <c r="AF4" s="1" t="e">
        <f t="shared" ref="AF4:AF14" si="7">+AD4-AE4</f>
        <v>#REF!</v>
      </c>
      <c r="AG4" s="54"/>
      <c r="AH4" s="1" t="e">
        <f>+#REF!</f>
        <v>#REF!</v>
      </c>
      <c r="AI4" s="1" t="e">
        <f>+#REF!</f>
        <v>#REF!</v>
      </c>
      <c r="AJ4" s="1" t="e">
        <f t="shared" ref="AJ4:AJ14" si="8">+AH4-AI4</f>
        <v>#REF!</v>
      </c>
      <c r="AK4" s="54"/>
      <c r="AL4" s="1" t="e">
        <f>+#REF!</f>
        <v>#REF!</v>
      </c>
      <c r="AM4" s="1" t="e">
        <f>+#REF!</f>
        <v>#REF!</v>
      </c>
      <c r="AN4" s="1" t="e">
        <f t="shared" ref="AN4:AN14" si="9">+AL4-AM4</f>
        <v>#REF!</v>
      </c>
      <c r="AO4" s="54"/>
      <c r="AP4" s="1" t="e">
        <f>+#REF!</f>
        <v>#REF!</v>
      </c>
      <c r="AQ4" s="1" t="e">
        <f>+#REF!</f>
        <v>#REF!</v>
      </c>
      <c r="AR4" s="1" t="e">
        <f t="shared" ref="AR4:AR14" si="10">+AP4-AQ4</f>
        <v>#REF!</v>
      </c>
      <c r="AT4" s="46" t="e">
        <f>+B4+F4+J4+N4+R4+V4+Z4+AD4+AH4+AL4</f>
        <v>#REF!</v>
      </c>
      <c r="AU4" s="46"/>
      <c r="AV4" s="46"/>
    </row>
    <row r="5" spans="1:48">
      <c r="A5" t="s">
        <v>85</v>
      </c>
      <c r="B5" s="1" t="e">
        <f>+#REF!</f>
        <v>#REF!</v>
      </c>
      <c r="C5" s="1" t="e">
        <f>+#REF!</f>
        <v>#REF!</v>
      </c>
      <c r="D5" s="1" t="e">
        <f t="shared" si="0"/>
        <v>#REF!</v>
      </c>
      <c r="E5" s="54"/>
      <c r="F5" s="1" t="e">
        <f>+#REF!</f>
        <v>#REF!</v>
      </c>
      <c r="G5" s="1" t="e">
        <f>+#REF!</f>
        <v>#REF!</v>
      </c>
      <c r="H5" s="1" t="e">
        <f t="shared" si="1"/>
        <v>#REF!</v>
      </c>
      <c r="I5" s="54"/>
      <c r="J5" s="1" t="e">
        <f>+#REF!</f>
        <v>#REF!</v>
      </c>
      <c r="K5" s="1" t="e">
        <f>+#REF!</f>
        <v>#REF!</v>
      </c>
      <c r="L5" s="1" t="e">
        <f t="shared" si="2"/>
        <v>#REF!</v>
      </c>
      <c r="M5" s="54"/>
      <c r="N5" s="1" t="e">
        <f>+#REF!</f>
        <v>#REF!</v>
      </c>
      <c r="O5" s="1" t="e">
        <f>+#REF!</f>
        <v>#REF!</v>
      </c>
      <c r="P5" s="1" t="e">
        <f t="shared" si="3"/>
        <v>#REF!</v>
      </c>
      <c r="Q5" s="54"/>
      <c r="R5" s="1" t="e">
        <f>+#REF!</f>
        <v>#REF!</v>
      </c>
      <c r="S5" s="1" t="e">
        <f>+#REF!</f>
        <v>#REF!</v>
      </c>
      <c r="T5" s="1" t="e">
        <f t="shared" si="4"/>
        <v>#REF!</v>
      </c>
      <c r="U5" s="54"/>
      <c r="V5" s="1" t="e">
        <f>+#REF!</f>
        <v>#REF!</v>
      </c>
      <c r="W5" s="1" t="e">
        <f>+#REF!</f>
        <v>#REF!</v>
      </c>
      <c r="X5" s="1" t="e">
        <f t="shared" si="5"/>
        <v>#REF!</v>
      </c>
      <c r="Y5" s="54"/>
      <c r="Z5" s="1" t="e">
        <f>+#REF!</f>
        <v>#REF!</v>
      </c>
      <c r="AA5" s="1" t="e">
        <f>+#REF!</f>
        <v>#REF!</v>
      </c>
      <c r="AB5" s="1" t="e">
        <f t="shared" si="6"/>
        <v>#REF!</v>
      </c>
      <c r="AC5" s="54"/>
      <c r="AD5" s="1" t="e">
        <f>+#REF!</f>
        <v>#REF!</v>
      </c>
      <c r="AE5" s="1" t="e">
        <f>+#REF!</f>
        <v>#REF!</v>
      </c>
      <c r="AF5" s="1" t="e">
        <f t="shared" si="7"/>
        <v>#REF!</v>
      </c>
      <c r="AG5" s="54"/>
      <c r="AH5" s="1" t="e">
        <f>+#REF!</f>
        <v>#REF!</v>
      </c>
      <c r="AI5" s="1" t="e">
        <f>+#REF!</f>
        <v>#REF!</v>
      </c>
      <c r="AJ5" s="1" t="e">
        <f t="shared" si="8"/>
        <v>#REF!</v>
      </c>
      <c r="AK5" s="54"/>
      <c r="AL5" s="1" t="e">
        <f>+#REF!</f>
        <v>#REF!</v>
      </c>
      <c r="AM5" s="1" t="e">
        <f>+#REF!</f>
        <v>#REF!</v>
      </c>
      <c r="AN5" s="1" t="e">
        <f t="shared" si="9"/>
        <v>#REF!</v>
      </c>
      <c r="AO5" s="54"/>
      <c r="AP5" s="1" t="e">
        <f>+#REF!</f>
        <v>#REF!</v>
      </c>
      <c r="AQ5" s="1" t="e">
        <f>+#REF!</f>
        <v>#REF!</v>
      </c>
      <c r="AR5" s="1" t="e">
        <f t="shared" si="10"/>
        <v>#REF!</v>
      </c>
      <c r="AT5" s="46" t="e">
        <f t="shared" ref="AT5:AT14" si="11">+B5+F5+J5+N5+R5+V5+Z5+AD5+AH5+AL5</f>
        <v>#REF!</v>
      </c>
    </row>
    <row r="6" spans="1:48">
      <c r="A6" t="s">
        <v>86</v>
      </c>
      <c r="B6" s="1" t="e">
        <f>+#REF!</f>
        <v>#REF!</v>
      </c>
      <c r="C6" s="1" t="e">
        <f>+#REF!</f>
        <v>#REF!</v>
      </c>
      <c r="D6" s="1" t="e">
        <f t="shared" si="0"/>
        <v>#REF!</v>
      </c>
      <c r="E6" s="54"/>
      <c r="F6" s="1" t="e">
        <f>+#REF!</f>
        <v>#REF!</v>
      </c>
      <c r="G6" s="1" t="e">
        <f>+#REF!</f>
        <v>#REF!</v>
      </c>
      <c r="H6" s="1" t="e">
        <f t="shared" si="1"/>
        <v>#REF!</v>
      </c>
      <c r="I6" s="54"/>
      <c r="J6" s="1" t="e">
        <f>+#REF!</f>
        <v>#REF!</v>
      </c>
      <c r="K6" s="1" t="e">
        <f>+#REF!</f>
        <v>#REF!</v>
      </c>
      <c r="L6" s="1" t="e">
        <f t="shared" si="2"/>
        <v>#REF!</v>
      </c>
      <c r="M6" s="54"/>
      <c r="N6" s="1" t="e">
        <f>+#REF!</f>
        <v>#REF!</v>
      </c>
      <c r="O6" s="1" t="e">
        <f>+#REF!</f>
        <v>#REF!</v>
      </c>
      <c r="P6" s="1" t="e">
        <f t="shared" si="3"/>
        <v>#REF!</v>
      </c>
      <c r="Q6" s="54"/>
      <c r="R6" s="1" t="e">
        <f>+#REF!</f>
        <v>#REF!</v>
      </c>
      <c r="S6" s="1" t="e">
        <f>+#REF!</f>
        <v>#REF!</v>
      </c>
      <c r="T6" s="1" t="e">
        <f t="shared" si="4"/>
        <v>#REF!</v>
      </c>
      <c r="U6" s="54"/>
      <c r="V6" s="1" t="e">
        <f>+#REF!</f>
        <v>#REF!</v>
      </c>
      <c r="W6" s="1" t="e">
        <f>+#REF!</f>
        <v>#REF!</v>
      </c>
      <c r="X6" s="1" t="e">
        <f t="shared" si="5"/>
        <v>#REF!</v>
      </c>
      <c r="Y6" s="54"/>
      <c r="Z6" s="1" t="e">
        <f>+#REF!</f>
        <v>#REF!</v>
      </c>
      <c r="AA6" s="1" t="e">
        <f>+#REF!</f>
        <v>#REF!</v>
      </c>
      <c r="AB6" s="1" t="e">
        <f t="shared" si="6"/>
        <v>#REF!</v>
      </c>
      <c r="AC6" s="54"/>
      <c r="AD6" s="1" t="e">
        <f>+#REF!</f>
        <v>#REF!</v>
      </c>
      <c r="AE6" s="1" t="e">
        <f>+#REF!</f>
        <v>#REF!</v>
      </c>
      <c r="AF6" s="1" t="e">
        <f t="shared" si="7"/>
        <v>#REF!</v>
      </c>
      <c r="AG6" s="54"/>
      <c r="AH6" s="1" t="e">
        <f>+#REF!</f>
        <v>#REF!</v>
      </c>
      <c r="AI6" s="1" t="e">
        <f>+#REF!</f>
        <v>#REF!</v>
      </c>
      <c r="AJ6" s="1" t="e">
        <f t="shared" si="8"/>
        <v>#REF!</v>
      </c>
      <c r="AK6" s="54"/>
      <c r="AL6" s="1" t="e">
        <f>+#REF!</f>
        <v>#REF!</v>
      </c>
      <c r="AM6" s="1" t="e">
        <f>+#REF!</f>
        <v>#REF!</v>
      </c>
      <c r="AN6" s="1" t="e">
        <f t="shared" si="9"/>
        <v>#REF!</v>
      </c>
      <c r="AO6" s="54"/>
      <c r="AP6" s="1" t="e">
        <f>+#REF!</f>
        <v>#REF!</v>
      </c>
      <c r="AQ6" s="1" t="e">
        <f>+#REF!</f>
        <v>#REF!</v>
      </c>
      <c r="AR6" s="1" t="e">
        <f t="shared" si="10"/>
        <v>#REF!</v>
      </c>
      <c r="AT6" s="46" t="e">
        <f t="shared" si="11"/>
        <v>#REF!</v>
      </c>
    </row>
    <row r="7" spans="1:48">
      <c r="A7" t="s">
        <v>87</v>
      </c>
      <c r="B7" s="1" t="e">
        <f>+#REF!</f>
        <v>#REF!</v>
      </c>
      <c r="C7" s="1" t="e">
        <f>+#REF!</f>
        <v>#REF!</v>
      </c>
      <c r="D7" s="1" t="e">
        <f t="shared" si="0"/>
        <v>#REF!</v>
      </c>
      <c r="E7" s="54"/>
      <c r="F7" s="1" t="e">
        <f>+#REF!</f>
        <v>#REF!</v>
      </c>
      <c r="G7" s="1" t="e">
        <f>+#REF!</f>
        <v>#REF!</v>
      </c>
      <c r="H7" s="1" t="e">
        <f t="shared" si="1"/>
        <v>#REF!</v>
      </c>
      <c r="I7" s="54"/>
      <c r="J7" s="1" t="e">
        <f>+#REF!</f>
        <v>#REF!</v>
      </c>
      <c r="K7" s="1" t="e">
        <f>+#REF!</f>
        <v>#REF!</v>
      </c>
      <c r="L7" s="1" t="e">
        <f t="shared" si="2"/>
        <v>#REF!</v>
      </c>
      <c r="M7" s="54"/>
      <c r="N7" s="1" t="e">
        <f>+#REF!</f>
        <v>#REF!</v>
      </c>
      <c r="O7" s="1" t="e">
        <f>+#REF!</f>
        <v>#REF!</v>
      </c>
      <c r="P7" s="1" t="e">
        <f t="shared" si="3"/>
        <v>#REF!</v>
      </c>
      <c r="Q7" s="54"/>
      <c r="R7" s="1" t="e">
        <f>+#REF!</f>
        <v>#REF!</v>
      </c>
      <c r="S7" s="1" t="e">
        <f>+#REF!</f>
        <v>#REF!</v>
      </c>
      <c r="T7" s="1" t="e">
        <f t="shared" si="4"/>
        <v>#REF!</v>
      </c>
      <c r="U7" s="54"/>
      <c r="V7" s="1" t="e">
        <f>+#REF!</f>
        <v>#REF!</v>
      </c>
      <c r="W7" s="1" t="e">
        <f>+#REF!</f>
        <v>#REF!</v>
      </c>
      <c r="X7" s="1" t="e">
        <f t="shared" si="5"/>
        <v>#REF!</v>
      </c>
      <c r="Y7" s="54"/>
      <c r="Z7" s="1" t="e">
        <f>+#REF!</f>
        <v>#REF!</v>
      </c>
      <c r="AA7" s="1" t="e">
        <f>+#REF!</f>
        <v>#REF!</v>
      </c>
      <c r="AB7" s="1" t="e">
        <f t="shared" si="6"/>
        <v>#REF!</v>
      </c>
      <c r="AC7" s="54"/>
      <c r="AD7" s="1" t="e">
        <f>+#REF!</f>
        <v>#REF!</v>
      </c>
      <c r="AE7" s="1" t="e">
        <f>+#REF!</f>
        <v>#REF!</v>
      </c>
      <c r="AF7" s="1" t="e">
        <f t="shared" si="7"/>
        <v>#REF!</v>
      </c>
      <c r="AG7" s="54"/>
      <c r="AH7" s="1" t="e">
        <f>+#REF!</f>
        <v>#REF!</v>
      </c>
      <c r="AI7" s="1" t="e">
        <f>+#REF!</f>
        <v>#REF!</v>
      </c>
      <c r="AJ7" s="1" t="e">
        <f t="shared" si="8"/>
        <v>#REF!</v>
      </c>
      <c r="AK7" s="54"/>
      <c r="AL7" s="1" t="e">
        <f>+#REF!</f>
        <v>#REF!</v>
      </c>
      <c r="AM7" s="1" t="e">
        <f>+#REF!</f>
        <v>#REF!</v>
      </c>
      <c r="AN7" s="1" t="e">
        <f t="shared" si="9"/>
        <v>#REF!</v>
      </c>
      <c r="AO7" s="54"/>
      <c r="AP7" s="1" t="e">
        <f>+#REF!</f>
        <v>#REF!</v>
      </c>
      <c r="AQ7" s="1" t="e">
        <f>+#REF!</f>
        <v>#REF!</v>
      </c>
      <c r="AR7" s="1" t="e">
        <f t="shared" si="10"/>
        <v>#REF!</v>
      </c>
      <c r="AT7" s="46" t="e">
        <f t="shared" si="11"/>
        <v>#REF!</v>
      </c>
    </row>
    <row r="8" spans="1:48">
      <c r="A8" t="s">
        <v>88</v>
      </c>
      <c r="B8" s="1" t="e">
        <f>+#REF!</f>
        <v>#REF!</v>
      </c>
      <c r="C8" s="1" t="e">
        <f>+#REF!</f>
        <v>#REF!</v>
      </c>
      <c r="D8" s="1" t="e">
        <f t="shared" si="0"/>
        <v>#REF!</v>
      </c>
      <c r="E8" s="54"/>
      <c r="F8" s="1" t="e">
        <f>+#REF!</f>
        <v>#REF!</v>
      </c>
      <c r="G8" s="1" t="e">
        <f>+#REF!</f>
        <v>#REF!</v>
      </c>
      <c r="H8" s="1" t="e">
        <f t="shared" si="1"/>
        <v>#REF!</v>
      </c>
      <c r="I8" s="54"/>
      <c r="J8" s="1" t="e">
        <f>+#REF!</f>
        <v>#REF!</v>
      </c>
      <c r="K8" s="1" t="e">
        <f>+#REF!</f>
        <v>#REF!</v>
      </c>
      <c r="L8" s="1" t="e">
        <f t="shared" si="2"/>
        <v>#REF!</v>
      </c>
      <c r="M8" s="54"/>
      <c r="N8" s="1" t="e">
        <f>+#REF!</f>
        <v>#REF!</v>
      </c>
      <c r="O8" s="1" t="e">
        <f>+#REF!</f>
        <v>#REF!</v>
      </c>
      <c r="P8" s="1" t="e">
        <f t="shared" si="3"/>
        <v>#REF!</v>
      </c>
      <c r="Q8" s="54"/>
      <c r="R8" s="1" t="e">
        <f>+#REF!</f>
        <v>#REF!</v>
      </c>
      <c r="S8" s="1" t="e">
        <f>+#REF!</f>
        <v>#REF!</v>
      </c>
      <c r="T8" s="1" t="e">
        <f t="shared" si="4"/>
        <v>#REF!</v>
      </c>
      <c r="U8" s="54"/>
      <c r="V8" s="1" t="e">
        <f>+#REF!</f>
        <v>#REF!</v>
      </c>
      <c r="W8" s="1" t="e">
        <f>+#REF!</f>
        <v>#REF!</v>
      </c>
      <c r="X8" s="1" t="e">
        <f t="shared" si="5"/>
        <v>#REF!</v>
      </c>
      <c r="Y8" s="54"/>
      <c r="Z8" s="1" t="e">
        <f>+#REF!</f>
        <v>#REF!</v>
      </c>
      <c r="AA8" s="1" t="e">
        <f>+#REF!</f>
        <v>#REF!</v>
      </c>
      <c r="AB8" s="1" t="e">
        <f t="shared" si="6"/>
        <v>#REF!</v>
      </c>
      <c r="AC8" s="54"/>
      <c r="AD8" s="1" t="e">
        <f>+#REF!</f>
        <v>#REF!</v>
      </c>
      <c r="AE8" s="1" t="e">
        <f>+#REF!</f>
        <v>#REF!</v>
      </c>
      <c r="AF8" s="1" t="e">
        <f t="shared" si="7"/>
        <v>#REF!</v>
      </c>
      <c r="AG8" s="54"/>
      <c r="AH8" s="1" t="e">
        <f>+#REF!</f>
        <v>#REF!</v>
      </c>
      <c r="AI8" s="1" t="e">
        <f>+#REF!</f>
        <v>#REF!</v>
      </c>
      <c r="AJ8" s="1" t="e">
        <f t="shared" si="8"/>
        <v>#REF!</v>
      </c>
      <c r="AK8" s="54"/>
      <c r="AL8" s="1" t="e">
        <f>+#REF!</f>
        <v>#REF!</v>
      </c>
      <c r="AM8" s="1" t="e">
        <f>+#REF!</f>
        <v>#REF!</v>
      </c>
      <c r="AN8" s="1" t="e">
        <f t="shared" si="9"/>
        <v>#REF!</v>
      </c>
      <c r="AO8" s="54"/>
      <c r="AP8" s="1" t="e">
        <f>+#REF!</f>
        <v>#REF!</v>
      </c>
      <c r="AQ8" s="1" t="e">
        <f>+#REF!</f>
        <v>#REF!</v>
      </c>
      <c r="AR8" s="1" t="e">
        <f t="shared" si="10"/>
        <v>#REF!</v>
      </c>
      <c r="AT8" s="46" t="e">
        <f t="shared" si="11"/>
        <v>#REF!</v>
      </c>
    </row>
    <row r="9" spans="1:48">
      <c r="A9" t="s">
        <v>89</v>
      </c>
      <c r="B9" s="1" t="e">
        <f>+#REF!</f>
        <v>#REF!</v>
      </c>
      <c r="C9" s="1" t="e">
        <f>+#REF!</f>
        <v>#REF!</v>
      </c>
      <c r="D9" s="1" t="e">
        <f t="shared" si="0"/>
        <v>#REF!</v>
      </c>
      <c r="E9" s="54"/>
      <c r="F9" s="1" t="e">
        <f>+#REF!</f>
        <v>#REF!</v>
      </c>
      <c r="G9" s="1" t="e">
        <f>+#REF!</f>
        <v>#REF!</v>
      </c>
      <c r="H9" s="1" t="e">
        <f t="shared" si="1"/>
        <v>#REF!</v>
      </c>
      <c r="I9" s="54"/>
      <c r="J9" s="1" t="e">
        <f>+#REF!</f>
        <v>#REF!</v>
      </c>
      <c r="K9" s="1" t="e">
        <f>+#REF!</f>
        <v>#REF!</v>
      </c>
      <c r="L9" s="1" t="e">
        <f t="shared" si="2"/>
        <v>#REF!</v>
      </c>
      <c r="M9" s="54"/>
      <c r="N9" s="1" t="e">
        <f>+#REF!</f>
        <v>#REF!</v>
      </c>
      <c r="O9" s="1" t="e">
        <f>+#REF!</f>
        <v>#REF!</v>
      </c>
      <c r="P9" s="1" t="e">
        <f t="shared" si="3"/>
        <v>#REF!</v>
      </c>
      <c r="Q9" s="54"/>
      <c r="R9" s="1" t="e">
        <f>+#REF!</f>
        <v>#REF!</v>
      </c>
      <c r="S9" s="1" t="e">
        <f>+#REF!</f>
        <v>#REF!</v>
      </c>
      <c r="T9" s="1" t="e">
        <f t="shared" si="4"/>
        <v>#REF!</v>
      </c>
      <c r="U9" s="54"/>
      <c r="V9" s="1" t="e">
        <f>+#REF!</f>
        <v>#REF!</v>
      </c>
      <c r="W9" s="1" t="e">
        <f>+#REF!</f>
        <v>#REF!</v>
      </c>
      <c r="X9" s="1" t="e">
        <f t="shared" si="5"/>
        <v>#REF!</v>
      </c>
      <c r="Y9" s="54"/>
      <c r="Z9" s="1" t="e">
        <f>+#REF!</f>
        <v>#REF!</v>
      </c>
      <c r="AA9" s="1" t="e">
        <f>+#REF!</f>
        <v>#REF!</v>
      </c>
      <c r="AB9" s="1" t="e">
        <f t="shared" si="6"/>
        <v>#REF!</v>
      </c>
      <c r="AC9" s="54"/>
      <c r="AD9" s="1" t="e">
        <f>+#REF!</f>
        <v>#REF!</v>
      </c>
      <c r="AE9" s="1" t="e">
        <f>+#REF!</f>
        <v>#REF!</v>
      </c>
      <c r="AF9" s="1" t="e">
        <f t="shared" si="7"/>
        <v>#REF!</v>
      </c>
      <c r="AG9" s="54"/>
      <c r="AH9" s="1" t="e">
        <f>+#REF!</f>
        <v>#REF!</v>
      </c>
      <c r="AI9" s="1" t="e">
        <f>+#REF!</f>
        <v>#REF!</v>
      </c>
      <c r="AJ9" s="1" t="e">
        <f t="shared" si="8"/>
        <v>#REF!</v>
      </c>
      <c r="AK9" s="54"/>
      <c r="AL9" s="1" t="e">
        <f>+#REF!</f>
        <v>#REF!</v>
      </c>
      <c r="AM9" s="1" t="e">
        <f>+#REF!</f>
        <v>#REF!</v>
      </c>
      <c r="AN9" s="1" t="e">
        <f t="shared" si="9"/>
        <v>#REF!</v>
      </c>
      <c r="AO9" s="54"/>
      <c r="AP9" s="1" t="e">
        <f>+#REF!</f>
        <v>#REF!</v>
      </c>
      <c r="AQ9" s="1" t="e">
        <f>+#REF!</f>
        <v>#REF!</v>
      </c>
      <c r="AR9" s="1" t="e">
        <f t="shared" si="10"/>
        <v>#REF!</v>
      </c>
      <c r="AT9" s="46" t="e">
        <f t="shared" si="11"/>
        <v>#REF!</v>
      </c>
    </row>
    <row r="10" spans="1:48">
      <c r="A10" t="s">
        <v>90</v>
      </c>
      <c r="B10" s="1" t="e">
        <f>+#REF!</f>
        <v>#REF!</v>
      </c>
      <c r="C10" s="1" t="e">
        <f>+#REF!</f>
        <v>#REF!</v>
      </c>
      <c r="D10" s="1" t="e">
        <f t="shared" si="0"/>
        <v>#REF!</v>
      </c>
      <c r="E10" s="54"/>
      <c r="F10" s="1" t="e">
        <f>+#REF!</f>
        <v>#REF!</v>
      </c>
      <c r="G10" s="1" t="e">
        <f>+#REF!</f>
        <v>#REF!</v>
      </c>
      <c r="H10" s="1" t="e">
        <f t="shared" si="1"/>
        <v>#REF!</v>
      </c>
      <c r="I10" s="54"/>
      <c r="J10" s="1" t="e">
        <f>+#REF!</f>
        <v>#REF!</v>
      </c>
      <c r="K10" s="1" t="e">
        <f>+#REF!</f>
        <v>#REF!</v>
      </c>
      <c r="L10" s="1" t="e">
        <f t="shared" si="2"/>
        <v>#REF!</v>
      </c>
      <c r="M10" s="54"/>
      <c r="N10" s="1" t="e">
        <f>+#REF!</f>
        <v>#REF!</v>
      </c>
      <c r="O10" s="1" t="e">
        <f>+#REF!</f>
        <v>#REF!</v>
      </c>
      <c r="P10" s="1" t="e">
        <f t="shared" si="3"/>
        <v>#REF!</v>
      </c>
      <c r="Q10" s="54"/>
      <c r="R10" s="1" t="e">
        <f>+#REF!</f>
        <v>#REF!</v>
      </c>
      <c r="S10" s="1" t="e">
        <f>+#REF!</f>
        <v>#REF!</v>
      </c>
      <c r="T10" s="1" t="e">
        <f t="shared" si="4"/>
        <v>#REF!</v>
      </c>
      <c r="U10" s="54"/>
      <c r="V10" s="1" t="e">
        <f>+#REF!</f>
        <v>#REF!</v>
      </c>
      <c r="W10" s="1" t="e">
        <f>+#REF!</f>
        <v>#REF!</v>
      </c>
      <c r="X10" s="1" t="e">
        <f t="shared" si="5"/>
        <v>#REF!</v>
      </c>
      <c r="Y10" s="54"/>
      <c r="Z10" s="1" t="e">
        <f>+#REF!</f>
        <v>#REF!</v>
      </c>
      <c r="AA10" s="1" t="e">
        <f>+#REF!</f>
        <v>#REF!</v>
      </c>
      <c r="AB10" s="1" t="e">
        <f t="shared" si="6"/>
        <v>#REF!</v>
      </c>
      <c r="AC10" s="54"/>
      <c r="AD10" s="1" t="e">
        <f>+#REF!</f>
        <v>#REF!</v>
      </c>
      <c r="AE10" s="1" t="e">
        <f>+#REF!</f>
        <v>#REF!</v>
      </c>
      <c r="AF10" s="1" t="e">
        <f t="shared" si="7"/>
        <v>#REF!</v>
      </c>
      <c r="AG10" s="54"/>
      <c r="AH10" s="1" t="e">
        <f>+#REF!</f>
        <v>#REF!</v>
      </c>
      <c r="AI10" s="1" t="e">
        <f>+#REF!</f>
        <v>#REF!</v>
      </c>
      <c r="AJ10" s="1" t="e">
        <f t="shared" si="8"/>
        <v>#REF!</v>
      </c>
      <c r="AK10" s="54"/>
      <c r="AL10" s="1" t="e">
        <f>+#REF!</f>
        <v>#REF!</v>
      </c>
      <c r="AM10" s="1" t="e">
        <f>+#REF!</f>
        <v>#REF!</v>
      </c>
      <c r="AN10" s="1" t="e">
        <f t="shared" si="9"/>
        <v>#REF!</v>
      </c>
      <c r="AO10" s="54"/>
      <c r="AP10" s="1" t="e">
        <f>+#REF!</f>
        <v>#REF!</v>
      </c>
      <c r="AQ10" s="1" t="e">
        <f>+#REF!</f>
        <v>#REF!</v>
      </c>
      <c r="AR10" s="1" t="e">
        <f t="shared" si="10"/>
        <v>#REF!</v>
      </c>
      <c r="AT10" s="46" t="e">
        <f t="shared" si="11"/>
        <v>#REF!</v>
      </c>
    </row>
    <row r="11" spans="1:48">
      <c r="A11" t="s">
        <v>91</v>
      </c>
      <c r="B11" s="1" t="e">
        <f>+#REF!</f>
        <v>#REF!</v>
      </c>
      <c r="C11" s="1" t="e">
        <f>+#REF!</f>
        <v>#REF!</v>
      </c>
      <c r="D11" s="1" t="e">
        <f t="shared" si="0"/>
        <v>#REF!</v>
      </c>
      <c r="E11" s="54"/>
      <c r="F11" s="1" t="e">
        <f>+#REF!</f>
        <v>#REF!</v>
      </c>
      <c r="G11" s="1" t="e">
        <f>+#REF!</f>
        <v>#REF!</v>
      </c>
      <c r="H11" s="1" t="e">
        <f t="shared" si="1"/>
        <v>#REF!</v>
      </c>
      <c r="I11" s="54"/>
      <c r="J11" s="1" t="e">
        <f>+#REF!</f>
        <v>#REF!</v>
      </c>
      <c r="K11" s="1" t="e">
        <f>+#REF!</f>
        <v>#REF!</v>
      </c>
      <c r="L11" s="1" t="e">
        <f t="shared" si="2"/>
        <v>#REF!</v>
      </c>
      <c r="M11" s="54"/>
      <c r="N11" s="1" t="e">
        <f>+#REF!</f>
        <v>#REF!</v>
      </c>
      <c r="O11" s="1" t="e">
        <f>+#REF!</f>
        <v>#REF!</v>
      </c>
      <c r="P11" s="1" t="e">
        <f t="shared" si="3"/>
        <v>#REF!</v>
      </c>
      <c r="Q11" s="54"/>
      <c r="R11" s="1" t="e">
        <f>+#REF!</f>
        <v>#REF!</v>
      </c>
      <c r="S11" s="1" t="e">
        <f>+#REF!</f>
        <v>#REF!</v>
      </c>
      <c r="T11" s="1" t="e">
        <f t="shared" si="4"/>
        <v>#REF!</v>
      </c>
      <c r="U11" s="54"/>
      <c r="V11" s="1" t="e">
        <f>+#REF!</f>
        <v>#REF!</v>
      </c>
      <c r="W11" s="1" t="e">
        <f>+#REF!</f>
        <v>#REF!</v>
      </c>
      <c r="X11" s="1" t="e">
        <f t="shared" si="5"/>
        <v>#REF!</v>
      </c>
      <c r="Y11" s="54"/>
      <c r="Z11" s="1" t="e">
        <f>+#REF!</f>
        <v>#REF!</v>
      </c>
      <c r="AA11" s="1" t="e">
        <f>+#REF!</f>
        <v>#REF!</v>
      </c>
      <c r="AB11" s="1" t="e">
        <f t="shared" si="6"/>
        <v>#REF!</v>
      </c>
      <c r="AC11" s="54"/>
      <c r="AD11" s="1" t="e">
        <f>+#REF!</f>
        <v>#REF!</v>
      </c>
      <c r="AE11" s="1" t="e">
        <f>+#REF!</f>
        <v>#REF!</v>
      </c>
      <c r="AF11" s="1" t="e">
        <f t="shared" si="7"/>
        <v>#REF!</v>
      </c>
      <c r="AG11" s="54"/>
      <c r="AH11" s="1" t="e">
        <f>+#REF!</f>
        <v>#REF!</v>
      </c>
      <c r="AI11" s="1" t="e">
        <f>+#REF!</f>
        <v>#REF!</v>
      </c>
      <c r="AJ11" s="1" t="e">
        <f t="shared" si="8"/>
        <v>#REF!</v>
      </c>
      <c r="AK11" s="54"/>
      <c r="AL11" s="1" t="e">
        <f>+#REF!</f>
        <v>#REF!</v>
      </c>
      <c r="AM11" s="1" t="e">
        <f>+#REF!</f>
        <v>#REF!</v>
      </c>
      <c r="AN11" s="1" t="e">
        <f t="shared" si="9"/>
        <v>#REF!</v>
      </c>
      <c r="AO11" s="54"/>
      <c r="AP11" s="1" t="e">
        <f>+#REF!</f>
        <v>#REF!</v>
      </c>
      <c r="AQ11" s="1" t="e">
        <f>+#REF!</f>
        <v>#REF!</v>
      </c>
      <c r="AR11" s="1" t="e">
        <f t="shared" si="10"/>
        <v>#REF!</v>
      </c>
      <c r="AT11" s="46" t="e">
        <f t="shared" si="11"/>
        <v>#REF!</v>
      </c>
      <c r="AU11" s="46"/>
    </row>
    <row r="12" spans="1:48">
      <c r="A12" t="s">
        <v>92</v>
      </c>
      <c r="B12" s="1" t="e">
        <f>+#REF!</f>
        <v>#REF!</v>
      </c>
      <c r="C12" s="1" t="e">
        <f>+#REF!</f>
        <v>#REF!</v>
      </c>
      <c r="D12" s="1" t="e">
        <f t="shared" si="0"/>
        <v>#REF!</v>
      </c>
      <c r="E12" s="54"/>
      <c r="F12" s="1" t="e">
        <f>+#REF!</f>
        <v>#REF!</v>
      </c>
      <c r="G12" s="1" t="e">
        <f>+#REF!</f>
        <v>#REF!</v>
      </c>
      <c r="H12" s="1" t="e">
        <f t="shared" si="1"/>
        <v>#REF!</v>
      </c>
      <c r="I12" s="54"/>
      <c r="J12" s="1" t="e">
        <f>+#REF!</f>
        <v>#REF!</v>
      </c>
      <c r="K12" s="1" t="e">
        <f>+#REF!</f>
        <v>#REF!</v>
      </c>
      <c r="L12" s="1" t="e">
        <f t="shared" si="2"/>
        <v>#REF!</v>
      </c>
      <c r="M12" s="54"/>
      <c r="N12" s="1" t="e">
        <f>+#REF!</f>
        <v>#REF!</v>
      </c>
      <c r="O12" s="1" t="e">
        <f>+#REF!</f>
        <v>#REF!</v>
      </c>
      <c r="P12" s="1" t="e">
        <f t="shared" si="3"/>
        <v>#REF!</v>
      </c>
      <c r="Q12" s="54"/>
      <c r="R12" s="1" t="e">
        <f>+#REF!</f>
        <v>#REF!</v>
      </c>
      <c r="S12" s="1" t="e">
        <f>+#REF!</f>
        <v>#REF!</v>
      </c>
      <c r="T12" s="1" t="e">
        <f t="shared" si="4"/>
        <v>#REF!</v>
      </c>
      <c r="U12" s="54"/>
      <c r="V12" s="1" t="e">
        <f>+#REF!</f>
        <v>#REF!</v>
      </c>
      <c r="W12" s="1" t="e">
        <f>+#REF!</f>
        <v>#REF!</v>
      </c>
      <c r="X12" s="1" t="e">
        <f t="shared" si="5"/>
        <v>#REF!</v>
      </c>
      <c r="Y12" s="54"/>
      <c r="Z12" s="1" t="e">
        <f>+#REF!</f>
        <v>#REF!</v>
      </c>
      <c r="AA12" s="1" t="e">
        <f>+#REF!</f>
        <v>#REF!</v>
      </c>
      <c r="AB12" s="1" t="e">
        <f t="shared" si="6"/>
        <v>#REF!</v>
      </c>
      <c r="AC12" s="54"/>
      <c r="AD12" s="1" t="e">
        <f>+#REF!</f>
        <v>#REF!</v>
      </c>
      <c r="AE12" s="1" t="e">
        <f>+#REF!</f>
        <v>#REF!</v>
      </c>
      <c r="AF12" s="1" t="e">
        <f t="shared" si="7"/>
        <v>#REF!</v>
      </c>
      <c r="AG12" s="54"/>
      <c r="AH12" s="1" t="e">
        <f>+#REF!</f>
        <v>#REF!</v>
      </c>
      <c r="AI12" s="1" t="e">
        <f>+#REF!</f>
        <v>#REF!</v>
      </c>
      <c r="AJ12" s="1" t="e">
        <f t="shared" si="8"/>
        <v>#REF!</v>
      </c>
      <c r="AK12" s="54"/>
      <c r="AL12" s="1" t="e">
        <f>+#REF!</f>
        <v>#REF!</v>
      </c>
      <c r="AM12" s="1" t="e">
        <f>+#REF!</f>
        <v>#REF!</v>
      </c>
      <c r="AN12" s="1" t="e">
        <f t="shared" si="9"/>
        <v>#REF!</v>
      </c>
      <c r="AO12" s="54"/>
      <c r="AP12" s="1" t="e">
        <f>+#REF!</f>
        <v>#REF!</v>
      </c>
      <c r="AQ12" s="1" t="e">
        <f>+#REF!</f>
        <v>#REF!</v>
      </c>
      <c r="AR12" s="1" t="e">
        <f t="shared" si="10"/>
        <v>#REF!</v>
      </c>
      <c r="AT12" s="46" t="e">
        <f t="shared" si="11"/>
        <v>#REF!</v>
      </c>
    </row>
    <row r="13" spans="1:48">
      <c r="A13" t="s">
        <v>93</v>
      </c>
      <c r="B13" s="1" t="e">
        <f>+#REF!</f>
        <v>#REF!</v>
      </c>
      <c r="C13" s="1" t="e">
        <f>+#REF!</f>
        <v>#REF!</v>
      </c>
      <c r="D13" s="1" t="e">
        <f t="shared" si="0"/>
        <v>#REF!</v>
      </c>
      <c r="E13" s="54"/>
      <c r="F13" s="1" t="e">
        <f>+#REF!</f>
        <v>#REF!</v>
      </c>
      <c r="G13" s="1" t="e">
        <f>+#REF!</f>
        <v>#REF!</v>
      </c>
      <c r="H13" s="1" t="e">
        <f t="shared" si="1"/>
        <v>#REF!</v>
      </c>
      <c r="I13" s="54"/>
      <c r="J13" s="1" t="e">
        <f>+#REF!</f>
        <v>#REF!</v>
      </c>
      <c r="K13" s="1" t="e">
        <f>+#REF!</f>
        <v>#REF!</v>
      </c>
      <c r="L13" s="1" t="e">
        <f t="shared" si="2"/>
        <v>#REF!</v>
      </c>
      <c r="M13" s="54"/>
      <c r="N13" s="1" t="e">
        <f>+#REF!</f>
        <v>#REF!</v>
      </c>
      <c r="O13" s="1" t="e">
        <f>+#REF!</f>
        <v>#REF!</v>
      </c>
      <c r="P13" s="1" t="e">
        <f t="shared" si="3"/>
        <v>#REF!</v>
      </c>
      <c r="Q13" s="54"/>
      <c r="R13" s="1" t="e">
        <f>+#REF!</f>
        <v>#REF!</v>
      </c>
      <c r="S13" s="1" t="e">
        <f>+#REF!</f>
        <v>#REF!</v>
      </c>
      <c r="T13" s="1" t="e">
        <f t="shared" si="4"/>
        <v>#REF!</v>
      </c>
      <c r="U13" s="54"/>
      <c r="V13" s="1" t="e">
        <f>+#REF!</f>
        <v>#REF!</v>
      </c>
      <c r="W13" s="1" t="e">
        <f>+#REF!</f>
        <v>#REF!</v>
      </c>
      <c r="X13" s="1" t="e">
        <f t="shared" si="5"/>
        <v>#REF!</v>
      </c>
      <c r="Y13" s="54"/>
      <c r="Z13" s="1" t="e">
        <f>+#REF!</f>
        <v>#REF!</v>
      </c>
      <c r="AA13" s="1" t="e">
        <f>+#REF!</f>
        <v>#REF!</v>
      </c>
      <c r="AB13" s="1" t="e">
        <f t="shared" si="6"/>
        <v>#REF!</v>
      </c>
      <c r="AC13" s="54"/>
      <c r="AD13" s="1" t="e">
        <f>+#REF!</f>
        <v>#REF!</v>
      </c>
      <c r="AE13" s="1" t="e">
        <f>+#REF!</f>
        <v>#REF!</v>
      </c>
      <c r="AF13" s="1" t="e">
        <f t="shared" si="7"/>
        <v>#REF!</v>
      </c>
      <c r="AG13" s="54"/>
      <c r="AH13" s="1" t="e">
        <f>+#REF!</f>
        <v>#REF!</v>
      </c>
      <c r="AI13" s="1" t="e">
        <f>+#REF!</f>
        <v>#REF!</v>
      </c>
      <c r="AJ13" s="1" t="e">
        <f t="shared" si="8"/>
        <v>#REF!</v>
      </c>
      <c r="AK13" s="54"/>
      <c r="AL13" s="1" t="e">
        <f>+#REF!</f>
        <v>#REF!</v>
      </c>
      <c r="AM13" s="1" t="e">
        <f>+#REF!</f>
        <v>#REF!</v>
      </c>
      <c r="AN13" s="1" t="e">
        <f t="shared" si="9"/>
        <v>#REF!</v>
      </c>
      <c r="AO13" s="54"/>
      <c r="AP13" s="1" t="e">
        <f>+#REF!</f>
        <v>#REF!</v>
      </c>
      <c r="AQ13" s="1" t="e">
        <f>+#REF!</f>
        <v>#REF!</v>
      </c>
      <c r="AR13" s="1" t="e">
        <f t="shared" si="10"/>
        <v>#REF!</v>
      </c>
      <c r="AT13" s="46" t="e">
        <f t="shared" si="11"/>
        <v>#REF!</v>
      </c>
    </row>
    <row r="14" spans="1:48">
      <c r="A14" t="s">
        <v>94</v>
      </c>
      <c r="B14" s="1" t="e">
        <f>+#REF!</f>
        <v>#REF!</v>
      </c>
      <c r="C14" s="1" t="e">
        <f>+#REF!</f>
        <v>#REF!</v>
      </c>
      <c r="D14" s="1" t="e">
        <f t="shared" si="0"/>
        <v>#REF!</v>
      </c>
      <c r="E14" s="54"/>
      <c r="F14" s="1" t="e">
        <f>+#REF!</f>
        <v>#REF!</v>
      </c>
      <c r="G14" s="1" t="e">
        <f>+#REF!</f>
        <v>#REF!</v>
      </c>
      <c r="H14" s="1" t="e">
        <f t="shared" si="1"/>
        <v>#REF!</v>
      </c>
      <c r="I14" s="54"/>
      <c r="J14" s="1" t="e">
        <f>+#REF!</f>
        <v>#REF!</v>
      </c>
      <c r="K14" s="1" t="e">
        <f>+#REF!</f>
        <v>#REF!</v>
      </c>
      <c r="L14" s="1" t="e">
        <f t="shared" si="2"/>
        <v>#REF!</v>
      </c>
      <c r="M14" s="54"/>
      <c r="N14" s="1" t="e">
        <f>+#REF!</f>
        <v>#REF!</v>
      </c>
      <c r="O14" s="1" t="e">
        <f>+#REF!</f>
        <v>#REF!</v>
      </c>
      <c r="P14" s="1" t="e">
        <f t="shared" si="3"/>
        <v>#REF!</v>
      </c>
      <c r="Q14" s="54"/>
      <c r="R14" s="1" t="e">
        <f>+#REF!</f>
        <v>#REF!</v>
      </c>
      <c r="S14" s="1" t="e">
        <f>+#REF!</f>
        <v>#REF!</v>
      </c>
      <c r="T14" s="1" t="e">
        <f t="shared" si="4"/>
        <v>#REF!</v>
      </c>
      <c r="U14" s="54"/>
      <c r="V14" s="1" t="e">
        <f>+#REF!</f>
        <v>#REF!</v>
      </c>
      <c r="W14" s="1" t="e">
        <f>+#REF!</f>
        <v>#REF!</v>
      </c>
      <c r="X14" s="1" t="e">
        <f t="shared" si="5"/>
        <v>#REF!</v>
      </c>
      <c r="Y14" s="54"/>
      <c r="Z14" s="1" t="e">
        <f>+#REF!</f>
        <v>#REF!</v>
      </c>
      <c r="AA14" s="1" t="e">
        <f>+#REF!</f>
        <v>#REF!</v>
      </c>
      <c r="AB14" s="1" t="e">
        <f t="shared" si="6"/>
        <v>#REF!</v>
      </c>
      <c r="AC14" s="54"/>
      <c r="AD14" s="1" t="e">
        <f>+#REF!</f>
        <v>#REF!</v>
      </c>
      <c r="AE14" s="1" t="e">
        <f>+#REF!</f>
        <v>#REF!</v>
      </c>
      <c r="AF14" s="1" t="e">
        <f t="shared" si="7"/>
        <v>#REF!</v>
      </c>
      <c r="AG14" s="54"/>
      <c r="AH14" s="1" t="e">
        <f>+#REF!</f>
        <v>#REF!</v>
      </c>
      <c r="AI14" s="1" t="e">
        <f>+#REF!</f>
        <v>#REF!</v>
      </c>
      <c r="AJ14" s="1" t="e">
        <f t="shared" si="8"/>
        <v>#REF!</v>
      </c>
      <c r="AK14" s="54"/>
      <c r="AL14" s="1" t="e">
        <f>+#REF!</f>
        <v>#REF!</v>
      </c>
      <c r="AM14" s="1" t="e">
        <f>+#REF!</f>
        <v>#REF!</v>
      </c>
      <c r="AN14" s="1" t="e">
        <f t="shared" si="9"/>
        <v>#REF!</v>
      </c>
      <c r="AO14" s="54"/>
      <c r="AP14" s="1" t="e">
        <f>+#REF!</f>
        <v>#REF!</v>
      </c>
      <c r="AQ14" s="1" t="e">
        <f>+#REF!</f>
        <v>#REF!</v>
      </c>
      <c r="AR14" s="1" t="e">
        <f t="shared" si="10"/>
        <v>#REF!</v>
      </c>
      <c r="AT14" s="46" t="e">
        <f t="shared" si="11"/>
        <v>#REF!</v>
      </c>
    </row>
    <row r="15" spans="1:48">
      <c r="E15" s="54"/>
      <c r="G15" s="1"/>
      <c r="H15" s="1"/>
      <c r="I15" s="54"/>
      <c r="K15" s="1"/>
      <c r="L15" s="1"/>
      <c r="M15" s="54"/>
      <c r="O15" s="1"/>
      <c r="P15" s="1"/>
      <c r="Q15" s="54"/>
      <c r="S15" s="1"/>
      <c r="T15" s="1"/>
      <c r="U15" s="54"/>
      <c r="W15" s="1"/>
      <c r="X15" s="1"/>
      <c r="Y15" s="54"/>
      <c r="AA15" s="1"/>
      <c r="AB15" s="1"/>
      <c r="AC15" s="54"/>
      <c r="AE15" s="1"/>
      <c r="AF15" s="1"/>
      <c r="AG15" s="54"/>
      <c r="AI15" s="1"/>
      <c r="AJ15" s="1"/>
      <c r="AK15" s="54"/>
      <c r="AM15" s="1"/>
      <c r="AN15" s="1"/>
      <c r="AO15" s="54"/>
      <c r="AQ15" s="1"/>
      <c r="AR15" s="1"/>
    </row>
    <row r="16" spans="1:48">
      <c r="E16" s="54"/>
      <c r="G16" s="1"/>
      <c r="H16" s="1"/>
      <c r="I16" s="54"/>
      <c r="K16" s="1"/>
      <c r="L16" s="1"/>
      <c r="M16" s="54"/>
      <c r="O16" s="1"/>
      <c r="P16" s="1"/>
      <c r="Q16" s="54"/>
      <c r="S16" s="1"/>
      <c r="T16" s="1"/>
      <c r="U16" s="54"/>
      <c r="W16" s="1"/>
      <c r="X16" s="1"/>
      <c r="Y16" s="54"/>
      <c r="AA16" s="1"/>
      <c r="AB16" s="1"/>
      <c r="AC16" s="54"/>
      <c r="AE16" s="1"/>
      <c r="AF16" s="1"/>
      <c r="AG16" s="54"/>
      <c r="AI16" s="1"/>
      <c r="AJ16" s="1"/>
      <c r="AK16" s="54"/>
      <c r="AM16" s="1"/>
      <c r="AN16" s="1"/>
      <c r="AO16" s="54"/>
      <c r="AQ16" s="1"/>
      <c r="AR16" s="1"/>
    </row>
    <row r="17" spans="1:46">
      <c r="E17" s="54"/>
      <c r="G17" s="1"/>
      <c r="H17" s="1"/>
      <c r="I17" s="54"/>
      <c r="K17" s="1"/>
      <c r="L17" s="1"/>
      <c r="M17" s="54"/>
      <c r="O17" s="1"/>
      <c r="P17" s="1"/>
      <c r="Q17" s="54"/>
      <c r="S17" s="1"/>
      <c r="T17" s="1"/>
      <c r="U17" s="54"/>
      <c r="W17" s="1"/>
      <c r="X17" s="1"/>
      <c r="Y17" s="54"/>
      <c r="AA17" s="1"/>
      <c r="AB17" s="1"/>
      <c r="AC17" s="54"/>
      <c r="AE17" s="1"/>
      <c r="AF17" s="1"/>
      <c r="AG17" s="54"/>
      <c r="AI17" s="1"/>
      <c r="AJ17" s="1"/>
      <c r="AK17" s="54"/>
      <c r="AM17" s="1"/>
      <c r="AN17" s="1"/>
      <c r="AO17" s="54"/>
      <c r="AQ17" s="1"/>
      <c r="AR17" s="1"/>
    </row>
    <row r="18" spans="1:46">
      <c r="B18" s="1" t="e">
        <f>SUM(B4:B17)</f>
        <v>#REF!</v>
      </c>
      <c r="C18" s="1" t="e">
        <f>SUM(C4:C17)</f>
        <v>#REF!</v>
      </c>
      <c r="D18" s="1" t="e">
        <f>SUM(D4:D17)</f>
        <v>#REF!</v>
      </c>
      <c r="E18" s="54"/>
      <c r="F18" s="1" t="e">
        <f>SUM(F4:F17)</f>
        <v>#REF!</v>
      </c>
      <c r="G18" s="1" t="e">
        <f>SUM(G4:G17)</f>
        <v>#REF!</v>
      </c>
      <c r="H18" s="1" t="e">
        <f>SUM(H4:H17)</f>
        <v>#REF!</v>
      </c>
      <c r="I18" s="54"/>
      <c r="J18" s="1" t="e">
        <f>SUM(J4:J17)</f>
        <v>#REF!</v>
      </c>
      <c r="K18" s="1" t="e">
        <f>SUM(K4:K17)</f>
        <v>#REF!</v>
      </c>
      <c r="L18" s="1" t="e">
        <f>SUM(L4:L17)</f>
        <v>#REF!</v>
      </c>
      <c r="M18" s="54"/>
      <c r="N18" s="1" t="e">
        <f>SUM(N4:N17)</f>
        <v>#REF!</v>
      </c>
      <c r="O18" s="1" t="e">
        <f>SUM(O4:O17)</f>
        <v>#REF!</v>
      </c>
      <c r="P18" s="1" t="e">
        <f>SUM(P4:P17)</f>
        <v>#REF!</v>
      </c>
      <c r="Q18" s="54"/>
      <c r="R18" s="1" t="e">
        <f>SUM(R4:R17)</f>
        <v>#REF!</v>
      </c>
      <c r="S18" s="1" t="e">
        <f>SUM(S4:S17)</f>
        <v>#REF!</v>
      </c>
      <c r="T18" s="1" t="e">
        <f>SUM(T4:T17)</f>
        <v>#REF!</v>
      </c>
      <c r="U18" s="54"/>
      <c r="V18" s="1" t="e">
        <f>SUM(V4:V17)</f>
        <v>#REF!</v>
      </c>
      <c r="W18" s="1" t="e">
        <f>SUM(W4:W17)</f>
        <v>#REF!</v>
      </c>
      <c r="X18" s="1" t="e">
        <f>SUM(X4:X17)</f>
        <v>#REF!</v>
      </c>
      <c r="Y18" s="54"/>
      <c r="Z18" s="1" t="e">
        <f>SUM(Z4:Z17)</f>
        <v>#REF!</v>
      </c>
      <c r="AA18" s="1" t="e">
        <f>SUM(AA4:AA17)</f>
        <v>#REF!</v>
      </c>
      <c r="AB18" s="1" t="e">
        <f>SUM(AB4:AB17)</f>
        <v>#REF!</v>
      </c>
      <c r="AC18" s="54"/>
      <c r="AD18" s="1" t="e">
        <f>SUM(AD4:AD17)</f>
        <v>#REF!</v>
      </c>
      <c r="AE18" s="1" t="e">
        <f>SUM(AE4:AE17)</f>
        <v>#REF!</v>
      </c>
      <c r="AF18" s="1" t="e">
        <f>SUM(AF4:AF17)</f>
        <v>#REF!</v>
      </c>
      <c r="AG18" s="54"/>
      <c r="AH18" s="1" t="e">
        <f>SUM(AH4:AH17)</f>
        <v>#REF!</v>
      </c>
      <c r="AI18" s="1" t="e">
        <f>SUM(AI4:AI17)</f>
        <v>#REF!</v>
      </c>
      <c r="AJ18" s="1" t="e">
        <f>SUM(AJ4:AJ17)</f>
        <v>#REF!</v>
      </c>
      <c r="AK18" s="54"/>
      <c r="AL18" s="1" t="e">
        <f>SUM(AL4:AL17)</f>
        <v>#REF!</v>
      </c>
      <c r="AM18" s="1" t="e">
        <f>SUM(AM4:AM17)</f>
        <v>#REF!</v>
      </c>
      <c r="AN18" s="1" t="e">
        <f>SUM(AN4:AN17)</f>
        <v>#REF!</v>
      </c>
      <c r="AO18" s="54"/>
      <c r="AP18" s="1" t="e">
        <f>SUM(AP4:AP17)</f>
        <v>#REF!</v>
      </c>
      <c r="AQ18" s="1" t="e">
        <f>SUM(AQ4:AQ17)</f>
        <v>#REF!</v>
      </c>
      <c r="AR18" s="1" t="e">
        <f>SUM(AR4:AR17)</f>
        <v>#REF!</v>
      </c>
      <c r="AT18" s="46" t="e">
        <f>+D18+H18+L18+P18+T18+X18+AB18+AF18+AJ18+AN18</f>
        <v>#REF!</v>
      </c>
    </row>
    <row r="19" spans="1:46">
      <c r="E19" s="54"/>
      <c r="I19" s="54"/>
      <c r="M19" s="54"/>
      <c r="Q19" s="54"/>
      <c r="U19" s="54"/>
      <c r="Y19" s="54"/>
      <c r="AC19" s="54"/>
      <c r="AG19" s="54"/>
      <c r="AK19" s="54"/>
      <c r="AO19" s="54"/>
    </row>
    <row r="20" spans="1:46">
      <c r="D20" s="47" t="e">
        <f>IF(D18&gt;0,"OVER","UNDER")</f>
        <v>#REF!</v>
      </c>
      <c r="E20" s="54"/>
      <c r="H20" s="47" t="e">
        <f>IF(H18&gt;0,"OVER","UNDER")</f>
        <v>#REF!</v>
      </c>
      <c r="I20" s="54"/>
      <c r="L20" s="47" t="e">
        <f>IF(L18&gt;0,"OVER","UNDER")</f>
        <v>#REF!</v>
      </c>
      <c r="M20" s="54"/>
      <c r="P20" s="47" t="e">
        <f>IF(P18&gt;0,"OVER","UNDER")</f>
        <v>#REF!</v>
      </c>
      <c r="Q20" s="54"/>
      <c r="T20" s="47" t="e">
        <f>IF(T18&gt;0,"OVER","UNDER")</f>
        <v>#REF!</v>
      </c>
      <c r="U20" s="54"/>
      <c r="X20" s="47" t="e">
        <f>IF(X18&gt;0,"OVER","UNDER")</f>
        <v>#REF!</v>
      </c>
      <c r="Y20" s="54"/>
      <c r="AB20" s="47" t="e">
        <f>IF(AB18&gt;0,"OVER","UNDER")</f>
        <v>#REF!</v>
      </c>
      <c r="AC20" s="54"/>
      <c r="AF20" s="47" t="e">
        <f>IF(AF18&gt;0,"OVER","UNDER")</f>
        <v>#REF!</v>
      </c>
      <c r="AG20" s="54"/>
      <c r="AJ20" s="47" t="e">
        <f>IF(AJ18&gt;0,"OVER","UNDER")</f>
        <v>#REF!</v>
      </c>
      <c r="AK20" s="54"/>
      <c r="AN20" s="47" t="e">
        <f>IF(AN18&gt;0,"OVER","UNDER")</f>
        <v>#REF!</v>
      </c>
      <c r="AO20" s="54"/>
      <c r="AR20" s="47" t="e">
        <f>IF(AR18&gt;0,"OVER","UNDER")</f>
        <v>#REF!</v>
      </c>
      <c r="AT20" s="47" t="e">
        <f>IF(AT18&gt;0,"OVER","UNDER")</f>
        <v>#REF!</v>
      </c>
    </row>
    <row r="24" spans="1:46">
      <c r="B24" s="98" t="s">
        <v>95</v>
      </c>
      <c r="C24" s="98"/>
      <c r="D24" s="98"/>
      <c r="E24" s="98"/>
      <c r="F24" s="98"/>
      <c r="G24" s="98"/>
      <c r="H24" s="98"/>
      <c r="I24" s="98"/>
      <c r="J24" s="98"/>
      <c r="K24" s="98"/>
      <c r="L24" s="98"/>
      <c r="M24"/>
      <c r="N24"/>
      <c r="Q24"/>
      <c r="R24"/>
      <c r="U24"/>
      <c r="V24"/>
      <c r="Y24"/>
      <c r="Z24"/>
      <c r="AC24"/>
      <c r="AD24"/>
      <c r="AG24"/>
      <c r="AH24"/>
      <c r="AK24"/>
      <c r="AL24"/>
      <c r="AO24"/>
      <c r="AP24"/>
    </row>
    <row r="25" spans="1:46">
      <c r="B25" s="98" t="s">
        <v>74</v>
      </c>
      <c r="C25" s="98"/>
      <c r="D25" s="98"/>
      <c r="E25" s="47"/>
      <c r="F25" s="98" t="s">
        <v>75</v>
      </c>
      <c r="G25" s="98"/>
      <c r="H25" s="98"/>
      <c r="I25" s="47"/>
      <c r="J25" s="98" t="s">
        <v>76</v>
      </c>
      <c r="K25" s="98"/>
      <c r="L25" s="98"/>
      <c r="M25" s="47"/>
      <c r="N25" s="98" t="s">
        <v>77</v>
      </c>
      <c r="O25" s="98"/>
      <c r="P25" s="98"/>
      <c r="Q25" s="47"/>
      <c r="R25" s="98" t="s">
        <v>78</v>
      </c>
      <c r="S25" s="98"/>
      <c r="T25" s="98"/>
      <c r="U25" s="47"/>
      <c r="V25" s="98" t="s">
        <v>102</v>
      </c>
      <c r="W25" s="98"/>
      <c r="X25" s="98"/>
      <c r="Y25" s="47"/>
      <c r="Z25" s="98" t="s">
        <v>104</v>
      </c>
      <c r="AA25" s="98"/>
      <c r="AB25" s="98"/>
      <c r="AC25" s="47"/>
      <c r="AD25" s="98" t="s">
        <v>370</v>
      </c>
      <c r="AE25" s="98"/>
      <c r="AF25" s="98"/>
      <c r="AG25" s="47"/>
      <c r="AH25" s="98" t="str">
        <f>+AH2</f>
        <v>December</v>
      </c>
      <c r="AI25" s="98"/>
      <c r="AJ25" s="98"/>
      <c r="AK25" s="47"/>
      <c r="AL25" s="98" t="str">
        <f>+AL2</f>
        <v>January</v>
      </c>
      <c r="AM25" s="98"/>
      <c r="AN25" s="98"/>
      <c r="AO25" s="47"/>
      <c r="AP25" s="98" t="str">
        <f>+AP2</f>
        <v>February</v>
      </c>
      <c r="AQ25" s="98"/>
      <c r="AR25" s="98"/>
    </row>
    <row r="26" spans="1:46">
      <c r="A26" s="50" t="s">
        <v>96</v>
      </c>
      <c r="B26" s="51" t="s">
        <v>81</v>
      </c>
      <c r="C26" s="51" t="s">
        <v>82</v>
      </c>
      <c r="D26" s="51" t="s">
        <v>72</v>
      </c>
      <c r="E26" s="51"/>
      <c r="F26" s="51" t="s">
        <v>81</v>
      </c>
      <c r="G26" s="51" t="s">
        <v>82</v>
      </c>
      <c r="H26" s="51" t="s">
        <v>72</v>
      </c>
      <c r="I26" s="51"/>
      <c r="J26" s="51" t="s">
        <v>81</v>
      </c>
      <c r="K26" s="51" t="s">
        <v>82</v>
      </c>
      <c r="L26" s="51" t="s">
        <v>72</v>
      </c>
      <c r="M26" s="51"/>
      <c r="N26" s="51" t="s">
        <v>81</v>
      </c>
      <c r="O26" s="51" t="s">
        <v>82</v>
      </c>
      <c r="P26" s="51" t="s">
        <v>72</v>
      </c>
      <c r="Q26" s="51"/>
      <c r="R26" s="51" t="s">
        <v>81</v>
      </c>
      <c r="S26" s="51" t="s">
        <v>82</v>
      </c>
      <c r="T26" s="51" t="s">
        <v>72</v>
      </c>
      <c r="U26" s="51"/>
      <c r="V26" s="51" t="s">
        <v>81</v>
      </c>
      <c r="W26" s="51" t="s">
        <v>82</v>
      </c>
      <c r="X26" s="51" t="s">
        <v>72</v>
      </c>
      <c r="Y26" s="51"/>
      <c r="Z26" s="51" t="s">
        <v>81</v>
      </c>
      <c r="AA26" s="51" t="s">
        <v>82</v>
      </c>
      <c r="AB26" s="51" t="s">
        <v>72</v>
      </c>
      <c r="AC26" s="51"/>
      <c r="AD26" s="51" t="s">
        <v>81</v>
      </c>
      <c r="AE26" s="51" t="s">
        <v>82</v>
      </c>
      <c r="AF26" s="51" t="s">
        <v>72</v>
      </c>
      <c r="AG26" s="51"/>
      <c r="AH26" s="51" t="s">
        <v>81</v>
      </c>
      <c r="AI26" s="51" t="s">
        <v>82</v>
      </c>
      <c r="AJ26" s="51" t="s">
        <v>72</v>
      </c>
      <c r="AK26" s="51"/>
      <c r="AL26" s="51" t="s">
        <v>81</v>
      </c>
      <c r="AM26" s="51" t="s">
        <v>82</v>
      </c>
      <c r="AN26" s="51" t="s">
        <v>72</v>
      </c>
      <c r="AO26" s="51"/>
      <c r="AP26" s="51" t="s">
        <v>81</v>
      </c>
      <c r="AQ26" s="51" t="s">
        <v>82</v>
      </c>
      <c r="AR26" s="51" t="s">
        <v>72</v>
      </c>
    </row>
    <row r="27" spans="1:46">
      <c r="A27" t="s">
        <v>13</v>
      </c>
      <c r="B27" s="1" t="e">
        <f>+#REF!</f>
        <v>#REF!</v>
      </c>
      <c r="C27" s="1" t="e">
        <f>+#REF!</f>
        <v>#REF!</v>
      </c>
      <c r="D27" s="1" t="e">
        <f>+B27-C27</f>
        <v>#REF!</v>
      </c>
      <c r="F27" s="1" t="e">
        <f>+#REF!</f>
        <v>#REF!</v>
      </c>
      <c r="G27" s="1" t="e">
        <f>+#REF!</f>
        <v>#REF!</v>
      </c>
      <c r="H27" s="1" t="e">
        <f>+F27-G27</f>
        <v>#REF!</v>
      </c>
      <c r="J27" s="1" t="e">
        <f>+#REF!</f>
        <v>#REF!</v>
      </c>
      <c r="K27" s="1" t="e">
        <f>+#REF!</f>
        <v>#REF!</v>
      </c>
      <c r="L27" s="1" t="e">
        <f>+J27-K27</f>
        <v>#REF!</v>
      </c>
      <c r="N27" s="1" t="e">
        <f>+#REF!</f>
        <v>#REF!</v>
      </c>
      <c r="O27" s="1" t="e">
        <f>+#REF!</f>
        <v>#REF!</v>
      </c>
      <c r="P27" s="1" t="e">
        <f>+N27-O27</f>
        <v>#REF!</v>
      </c>
      <c r="R27" s="1" t="e">
        <f>+#REF!</f>
        <v>#REF!</v>
      </c>
      <c r="S27" s="1" t="e">
        <f>+#REF!</f>
        <v>#REF!</v>
      </c>
      <c r="T27" s="1" t="e">
        <f>+R27-S27</f>
        <v>#REF!</v>
      </c>
      <c r="V27" s="1" t="e">
        <f>+#REF!</f>
        <v>#REF!</v>
      </c>
      <c r="W27" s="1" t="e">
        <f>+#REF!</f>
        <v>#REF!</v>
      </c>
      <c r="X27" s="1" t="e">
        <f>+V27-W27</f>
        <v>#REF!</v>
      </c>
      <c r="Z27" s="1" t="e">
        <f>+#REF!</f>
        <v>#REF!</v>
      </c>
      <c r="AA27" s="1" t="e">
        <f>+#REF!</f>
        <v>#REF!</v>
      </c>
      <c r="AB27" s="1" t="e">
        <f>+Z27-AA27</f>
        <v>#REF!</v>
      </c>
      <c r="AD27" s="1" t="e">
        <f>+#REF!</f>
        <v>#REF!</v>
      </c>
      <c r="AE27" s="1" t="e">
        <f>+#REF!</f>
        <v>#REF!</v>
      </c>
      <c r="AF27" s="1" t="e">
        <f>+AD27-AE27</f>
        <v>#REF!</v>
      </c>
      <c r="AH27" s="1" t="e">
        <f>+#REF!</f>
        <v>#REF!</v>
      </c>
      <c r="AI27" s="1" t="e">
        <f>+#REF!</f>
        <v>#REF!</v>
      </c>
      <c r="AJ27" s="1" t="e">
        <f>+AH27-AI27</f>
        <v>#REF!</v>
      </c>
      <c r="AL27" s="1" t="e">
        <f>+#REF!</f>
        <v>#REF!</v>
      </c>
      <c r="AM27" s="1" t="e">
        <f>+#REF!</f>
        <v>#REF!</v>
      </c>
      <c r="AN27" s="1" t="e">
        <f>+AL27-AM27</f>
        <v>#REF!</v>
      </c>
      <c r="AP27" s="1" t="e">
        <f>+#REF!</f>
        <v>#REF!</v>
      </c>
      <c r="AQ27" s="1" t="e">
        <f>+#REF!</f>
        <v>#REF!</v>
      </c>
      <c r="AR27" s="1" t="e">
        <f>+AP27-AQ27</f>
        <v>#REF!</v>
      </c>
    </row>
    <row r="28" spans="1:46">
      <c r="A28" t="s">
        <v>14</v>
      </c>
      <c r="B28" s="1" t="e">
        <f>+#REF!</f>
        <v>#REF!</v>
      </c>
      <c r="C28" s="1" t="e">
        <f>+#REF!</f>
        <v>#REF!</v>
      </c>
      <c r="D28" s="1" t="e">
        <f>+B28-C28</f>
        <v>#REF!</v>
      </c>
      <c r="F28" s="1" t="e">
        <f>+#REF!</f>
        <v>#REF!</v>
      </c>
      <c r="G28" s="1" t="e">
        <f>+#REF!</f>
        <v>#REF!</v>
      </c>
      <c r="H28" s="1" t="e">
        <f>+F28-G28</f>
        <v>#REF!</v>
      </c>
      <c r="J28" s="1" t="e">
        <f>+#REF!</f>
        <v>#REF!</v>
      </c>
      <c r="K28" s="1" t="e">
        <f>+#REF!</f>
        <v>#REF!</v>
      </c>
      <c r="L28" s="1" t="e">
        <f>+J28-K28</f>
        <v>#REF!</v>
      </c>
      <c r="N28" s="1" t="e">
        <f>+#REF!</f>
        <v>#REF!</v>
      </c>
      <c r="O28" s="1" t="e">
        <f>+#REF!</f>
        <v>#REF!</v>
      </c>
      <c r="P28" s="1" t="e">
        <f>+N28-O28</f>
        <v>#REF!</v>
      </c>
      <c r="R28" s="1" t="e">
        <f>+#REF!</f>
        <v>#REF!</v>
      </c>
      <c r="S28" s="1" t="e">
        <f>+#REF!</f>
        <v>#REF!</v>
      </c>
      <c r="T28" s="1" t="e">
        <f>+R28-S28</f>
        <v>#REF!</v>
      </c>
      <c r="V28" s="1" t="e">
        <f>+#REF!</f>
        <v>#REF!</v>
      </c>
      <c r="W28" s="1" t="e">
        <f>+#REF!</f>
        <v>#REF!</v>
      </c>
      <c r="X28" s="1" t="e">
        <f>+V28-W28</f>
        <v>#REF!</v>
      </c>
      <c r="Z28" s="1" t="e">
        <f>+#REF!</f>
        <v>#REF!</v>
      </c>
      <c r="AA28" s="1" t="e">
        <f>+#REF!</f>
        <v>#REF!</v>
      </c>
      <c r="AB28" s="1" t="e">
        <f>+Z28-AA28</f>
        <v>#REF!</v>
      </c>
      <c r="AD28" s="1" t="e">
        <f>+#REF!</f>
        <v>#REF!</v>
      </c>
      <c r="AE28" s="1" t="e">
        <f>+#REF!</f>
        <v>#REF!</v>
      </c>
      <c r="AF28" s="1" t="e">
        <f>+AD28-AE28</f>
        <v>#REF!</v>
      </c>
      <c r="AH28" s="1" t="e">
        <f>+#REF!</f>
        <v>#REF!</v>
      </c>
      <c r="AI28" s="1" t="e">
        <f>+#REF!</f>
        <v>#REF!</v>
      </c>
      <c r="AJ28" s="1" t="e">
        <f>+AH28-AI28</f>
        <v>#REF!</v>
      </c>
      <c r="AL28" s="1" t="e">
        <f>+#REF!</f>
        <v>#REF!</v>
      </c>
      <c r="AM28" s="1" t="e">
        <f>+#REF!</f>
        <v>#REF!</v>
      </c>
      <c r="AN28" s="1" t="e">
        <f>+AL28-AM28</f>
        <v>#REF!</v>
      </c>
      <c r="AP28" s="1" t="e">
        <f>+#REF!</f>
        <v>#REF!</v>
      </c>
      <c r="AQ28" s="1" t="e">
        <f>+#REF!</f>
        <v>#REF!</v>
      </c>
      <c r="AR28" s="1" t="e">
        <f>+AP28-AQ28</f>
        <v>#REF!</v>
      </c>
    </row>
    <row r="29" spans="1:46">
      <c r="G29" s="1"/>
      <c r="H29" s="1"/>
      <c r="K29" s="1"/>
      <c r="L29" s="1"/>
      <c r="O29" s="1"/>
      <c r="P29" s="1"/>
      <c r="S29" s="1"/>
      <c r="T29" s="1"/>
      <c r="W29" s="1"/>
      <c r="X29" s="1"/>
      <c r="AA29" s="1"/>
      <c r="AB29" s="1"/>
      <c r="AE29" s="1"/>
      <c r="AF29" s="1"/>
      <c r="AI29" s="1"/>
      <c r="AJ29" s="1"/>
      <c r="AM29" s="1"/>
      <c r="AN29" s="1"/>
      <c r="AQ29" s="1"/>
      <c r="AR29" s="1"/>
    </row>
    <row r="30" spans="1:46">
      <c r="B30" s="1" t="e">
        <f>SUM(B27:B29)</f>
        <v>#REF!</v>
      </c>
      <c r="C30" s="1" t="e">
        <f>SUM(C27:C29)</f>
        <v>#REF!</v>
      </c>
      <c r="D30" s="1" t="e">
        <f>SUM(D27:D29)</f>
        <v>#REF!</v>
      </c>
      <c r="F30" s="1" t="e">
        <f>SUM(F27:F29)</f>
        <v>#REF!</v>
      </c>
      <c r="G30" s="1" t="e">
        <f>SUM(G27:G29)</f>
        <v>#REF!</v>
      </c>
      <c r="H30" s="1" t="e">
        <f>SUM(H27:H29)</f>
        <v>#REF!</v>
      </c>
      <c r="J30" s="1" t="e">
        <f>SUM(J27:J29)</f>
        <v>#REF!</v>
      </c>
      <c r="K30" s="1" t="e">
        <f>SUM(K27:K29)</f>
        <v>#REF!</v>
      </c>
      <c r="L30" s="1" t="e">
        <f>SUM(L27:L29)</f>
        <v>#REF!</v>
      </c>
      <c r="N30" s="1" t="e">
        <f>SUM(N27:N29)</f>
        <v>#REF!</v>
      </c>
      <c r="O30" s="1" t="e">
        <f>SUM(O27:O29)</f>
        <v>#REF!</v>
      </c>
      <c r="P30" s="1" t="e">
        <f>SUM(P27:P29)</f>
        <v>#REF!</v>
      </c>
      <c r="R30" s="1" t="e">
        <f>SUM(R27:R29)</f>
        <v>#REF!</v>
      </c>
      <c r="S30" s="1" t="e">
        <f>SUM(S27:S29)</f>
        <v>#REF!</v>
      </c>
      <c r="T30" s="1" t="e">
        <f>SUM(T27:T29)</f>
        <v>#REF!</v>
      </c>
      <c r="V30" s="1" t="e">
        <f>SUM(V27:V29)</f>
        <v>#REF!</v>
      </c>
      <c r="W30" s="1" t="e">
        <f>SUM(W27:W29)</f>
        <v>#REF!</v>
      </c>
      <c r="X30" s="1" t="e">
        <f>SUM(X27:X29)</f>
        <v>#REF!</v>
      </c>
      <c r="Z30" s="1" t="e">
        <f>SUM(Z27:Z29)</f>
        <v>#REF!</v>
      </c>
      <c r="AA30" s="1" t="e">
        <f>SUM(AA27:AA29)</f>
        <v>#REF!</v>
      </c>
      <c r="AB30" s="1" t="e">
        <f>SUM(AB27:AB29)</f>
        <v>#REF!</v>
      </c>
      <c r="AD30" s="1" t="e">
        <f>SUM(AD27:AD29)</f>
        <v>#REF!</v>
      </c>
      <c r="AE30" s="1" t="e">
        <f>SUM(AE27:AE29)</f>
        <v>#REF!</v>
      </c>
      <c r="AF30" s="1" t="e">
        <f>SUM(AF27:AF29)</f>
        <v>#REF!</v>
      </c>
      <c r="AH30" s="1" t="e">
        <f>SUM(AH27:AH29)</f>
        <v>#REF!</v>
      </c>
      <c r="AI30" s="1" t="e">
        <f>SUM(AI27:AI29)</f>
        <v>#REF!</v>
      </c>
      <c r="AJ30" s="1" t="e">
        <f>SUM(AJ27:AJ29)</f>
        <v>#REF!</v>
      </c>
      <c r="AL30" s="1" t="e">
        <f>SUM(AL27:AL29)</f>
        <v>#REF!</v>
      </c>
      <c r="AM30" s="1" t="e">
        <f>SUM(AM27:AM29)</f>
        <v>#REF!</v>
      </c>
      <c r="AN30" s="1" t="e">
        <f>SUM(AN27:AN29)</f>
        <v>#REF!</v>
      </c>
      <c r="AP30" s="1" t="e">
        <f>SUM(AP27:AP29)</f>
        <v>#REF!</v>
      </c>
      <c r="AQ30" s="1" t="e">
        <f>SUM(AQ27:AQ29)</f>
        <v>#REF!</v>
      </c>
      <c r="AR30" s="1" t="e">
        <f>SUM(AR27:AR29)</f>
        <v>#REF!</v>
      </c>
      <c r="AT30" s="46"/>
    </row>
    <row r="34" spans="1:1">
      <c r="A34" t="s">
        <v>97</v>
      </c>
    </row>
    <row r="35" spans="1:1">
      <c r="A35" t="s">
        <v>98</v>
      </c>
    </row>
    <row r="36" spans="1:1">
      <c r="A36" t="s">
        <v>99</v>
      </c>
    </row>
    <row r="37" spans="1:1">
      <c r="A37" t="s">
        <v>100</v>
      </c>
    </row>
    <row r="38" spans="1:1">
      <c r="A38" t="s">
        <v>101</v>
      </c>
    </row>
    <row r="39" spans="1:1">
      <c r="A39" t="s">
        <v>103</v>
      </c>
    </row>
    <row r="40" spans="1:1">
      <c r="A40" t="s">
        <v>105</v>
      </c>
    </row>
  </sheetData>
  <mergeCells count="24">
    <mergeCell ref="AP2:AR2"/>
    <mergeCell ref="AP25:AR25"/>
    <mergeCell ref="B24:L24"/>
    <mergeCell ref="B25:D25"/>
    <mergeCell ref="F25:H25"/>
    <mergeCell ref="J25:L25"/>
    <mergeCell ref="N25:P25"/>
    <mergeCell ref="AL2:AN2"/>
    <mergeCell ref="AL25:AN25"/>
    <mergeCell ref="AH2:AJ2"/>
    <mergeCell ref="AH25:AJ25"/>
    <mergeCell ref="R25:T25"/>
    <mergeCell ref="R2:T2"/>
    <mergeCell ref="AD2:AF2"/>
    <mergeCell ref="AD25:AF25"/>
    <mergeCell ref="Z2:AB2"/>
    <mergeCell ref="Z25:AB25"/>
    <mergeCell ref="V2:X2"/>
    <mergeCell ref="V25:X25"/>
    <mergeCell ref="B1:P1"/>
    <mergeCell ref="B2:D2"/>
    <mergeCell ref="F2:H2"/>
    <mergeCell ref="J2:L2"/>
    <mergeCell ref="N2:P2"/>
  </mergeCells>
  <conditionalFormatting sqref="B20:AZ20">
    <cfRule type="containsText" dxfId="1" priority="1" operator="containsText" text="UNDER">
      <formula>NOT(ISERROR(SEARCH("UNDER",B20)))</formula>
    </cfRule>
    <cfRule type="containsText" dxfId="0" priority="2" operator="containsText" text="OVER">
      <formula>NOT(ISERROR(SEARCH("OVER",B20)))</formula>
    </cfRule>
  </conditionalFormatting>
  <pageMargins left="0.7" right="0.7" top="0.75" bottom="0.75" header="0.3" footer="0.3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Fin Summary - Operating</vt:lpstr>
      <vt:lpstr>Full Data New</vt:lpstr>
      <vt:lpstr>Capital Expenditures</vt:lpstr>
      <vt:lpstr>Overtime</vt:lpstr>
      <vt:lpstr>'Fin Summary - Operating'!Print_Area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Sheena Hall</dc:creator>
  <cp:lastModifiedBy>Sheena Hall</cp:lastModifiedBy>
  <cp:lastPrinted>2026-01-13T14:39:34Z</cp:lastPrinted>
  <dcterms:created xsi:type="dcterms:W3CDTF">2024-06-18T22:29:38Z</dcterms:created>
  <dcterms:modified xsi:type="dcterms:W3CDTF">2026-08-13T11:52:37Z</dcterms:modified>
</cp:coreProperties>
</file>