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49FB7E8C-70C9-41CF-B42E-534E08DF3C3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in Summary - Operating" sheetId="2" r:id="rId1"/>
    <sheet name="Full Data New" sheetId="3" r:id="rId2"/>
  </sheets>
  <definedNames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0">'Fin Summary - Operating'!$B$1:$P$89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4" i="2" l="1"/>
  <c r="I24" i="2"/>
  <c r="B13" i="2"/>
  <c r="I13" i="2"/>
  <c r="D113" i="2"/>
  <c r="D90" i="2"/>
  <c r="G88" i="2"/>
  <c r="I88" i="2"/>
  <c r="D85" i="2" s="1"/>
  <c r="J90" i="2"/>
  <c r="I94" i="2"/>
  <c r="I91" i="2"/>
  <c r="D101" i="2" s="1"/>
  <c r="D102" i="2" s="1"/>
  <c r="G91" i="2"/>
  <c r="D107" i="2"/>
  <c r="D95" i="2"/>
  <c r="I90" i="2"/>
  <c r="D96" i="2" s="1"/>
  <c r="I89" i="2"/>
  <c r="G90" i="2"/>
  <c r="G89" i="2"/>
  <c r="I87" i="2"/>
  <c r="I86" i="2"/>
  <c r="I85" i="2"/>
  <c r="I83" i="2"/>
  <c r="I84" i="2"/>
  <c r="I81" i="2"/>
  <c r="I80" i="2"/>
  <c r="J81" i="2" s="1"/>
  <c r="G86" i="2"/>
  <c r="G87" i="2"/>
  <c r="G85" i="2"/>
  <c r="G83" i="2"/>
  <c r="G84" i="2"/>
  <c r="G81" i="2"/>
  <c r="G80" i="2"/>
  <c r="D67" i="3"/>
  <c r="D97" i="2" l="1"/>
  <c r="I95" i="2"/>
  <c r="D91" i="2"/>
  <c r="I96" i="2"/>
  <c r="F67" i="3"/>
  <c r="D68" i="3"/>
  <c r="G205" i="3"/>
  <c r="E205" i="3"/>
  <c r="D205" i="3"/>
  <c r="H205" i="3" s="1"/>
  <c r="C205" i="3"/>
  <c r="B205" i="3"/>
  <c r="C199" i="3"/>
  <c r="C51" i="2" s="1"/>
  <c r="D199" i="3"/>
  <c r="E199" i="3"/>
  <c r="J51" i="2" s="1"/>
  <c r="G199" i="3"/>
  <c r="B199" i="3"/>
  <c r="B51" i="2" s="1"/>
  <c r="C189" i="3"/>
  <c r="C49" i="2" s="1"/>
  <c r="D189" i="3"/>
  <c r="E189" i="3"/>
  <c r="F189" i="3" s="1"/>
  <c r="G189" i="3"/>
  <c r="B189" i="3"/>
  <c r="B49" i="2" s="1"/>
  <c r="C172" i="3"/>
  <c r="D172" i="3"/>
  <c r="E172" i="3"/>
  <c r="F172" i="3" s="1"/>
  <c r="G172" i="3"/>
  <c r="H172" i="3" s="1"/>
  <c r="B172" i="3"/>
  <c r="C150" i="3"/>
  <c r="D150" i="3"/>
  <c r="H150" i="3" s="1"/>
  <c r="E150" i="3"/>
  <c r="G150" i="3"/>
  <c r="B150" i="3"/>
  <c r="G109" i="3"/>
  <c r="E109" i="3"/>
  <c r="D109" i="3"/>
  <c r="H109" i="3" s="1"/>
  <c r="C109" i="3"/>
  <c r="B109" i="3"/>
  <c r="G91" i="3"/>
  <c r="E91" i="3"/>
  <c r="D91" i="3"/>
  <c r="F91" i="3" s="1"/>
  <c r="C91" i="3"/>
  <c r="B91" i="3"/>
  <c r="G50" i="3"/>
  <c r="E50" i="3"/>
  <c r="C50" i="3"/>
  <c r="B50" i="3"/>
  <c r="G20" i="3"/>
  <c r="E20" i="3"/>
  <c r="D20" i="3"/>
  <c r="F20" i="3" s="1"/>
  <c r="C20" i="3"/>
  <c r="B20" i="3"/>
  <c r="G18" i="3"/>
  <c r="E18" i="3"/>
  <c r="D18" i="3"/>
  <c r="C18" i="3"/>
  <c r="B18" i="3"/>
  <c r="G14" i="3"/>
  <c r="E14" i="3"/>
  <c r="C14" i="3"/>
  <c r="G10" i="3"/>
  <c r="E10" i="3"/>
  <c r="D10" i="3"/>
  <c r="H10" i="3" s="1"/>
  <c r="C10" i="3"/>
  <c r="B10" i="3"/>
  <c r="G8" i="3"/>
  <c r="E8" i="3"/>
  <c r="D8" i="3"/>
  <c r="C8" i="3"/>
  <c r="B8" i="3"/>
  <c r="G6" i="3"/>
  <c r="E6" i="3"/>
  <c r="D6" i="3"/>
  <c r="F6" i="3" s="1"/>
  <c r="C6" i="3"/>
  <c r="B6" i="3"/>
  <c r="G4" i="3"/>
  <c r="E4" i="3"/>
  <c r="D4" i="3"/>
  <c r="C4" i="3"/>
  <c r="B4" i="3"/>
  <c r="E236" i="3"/>
  <c r="D236" i="3"/>
  <c r="C236" i="3"/>
  <c r="B236" i="3"/>
  <c r="J25" i="2"/>
  <c r="J24" i="2"/>
  <c r="I25" i="2"/>
  <c r="C25" i="2"/>
  <c r="C24" i="2"/>
  <c r="B25" i="2"/>
  <c r="B24" i="2"/>
  <c r="B16" i="3"/>
  <c r="D16" i="3"/>
  <c r="B17" i="3"/>
  <c r="D17" i="3"/>
  <c r="C34" i="3"/>
  <c r="D34" i="3"/>
  <c r="D35" i="3" s="1"/>
  <c r="E34" i="3"/>
  <c r="G34" i="3"/>
  <c r="B35" i="3"/>
  <c r="B26" i="3" s="1"/>
  <c r="C13" i="2" s="1"/>
  <c r="C35" i="3"/>
  <c r="E35" i="3"/>
  <c r="G35" i="3"/>
  <c r="D78" i="3"/>
  <c r="J8" i="2"/>
  <c r="I8" i="2"/>
  <c r="C8" i="2"/>
  <c r="B8" i="2"/>
  <c r="J7" i="2"/>
  <c r="I7" i="2"/>
  <c r="C7" i="2"/>
  <c r="B7" i="2"/>
  <c r="J28" i="2"/>
  <c r="I28" i="2"/>
  <c r="C28" i="2"/>
  <c r="B28" i="2"/>
  <c r="J55" i="2"/>
  <c r="J54" i="2"/>
  <c r="J53" i="2"/>
  <c r="I55" i="2"/>
  <c r="C55" i="2"/>
  <c r="B55" i="2"/>
  <c r="I54" i="2"/>
  <c r="I53" i="2"/>
  <c r="C54" i="2"/>
  <c r="C53" i="2"/>
  <c r="B54" i="2"/>
  <c r="B53" i="2"/>
  <c r="J46" i="2"/>
  <c r="J45" i="2"/>
  <c r="J44" i="2"/>
  <c r="I46" i="2"/>
  <c r="I45" i="2"/>
  <c r="I44" i="2"/>
  <c r="C46" i="2"/>
  <c r="C45" i="2"/>
  <c r="C44" i="2"/>
  <c r="B46" i="2"/>
  <c r="B45" i="2"/>
  <c r="B44" i="2"/>
  <c r="J41" i="2"/>
  <c r="J40" i="2"/>
  <c r="J39" i="2"/>
  <c r="I41" i="2"/>
  <c r="I40" i="2"/>
  <c r="I39" i="2"/>
  <c r="C41" i="2"/>
  <c r="C40" i="2"/>
  <c r="C39" i="2"/>
  <c r="B41" i="2"/>
  <c r="B40" i="2"/>
  <c r="B39" i="2"/>
  <c r="J36" i="2"/>
  <c r="J35" i="2"/>
  <c r="J34" i="2"/>
  <c r="J33" i="2"/>
  <c r="I36" i="2"/>
  <c r="I35" i="2"/>
  <c r="I34" i="2"/>
  <c r="I33" i="2"/>
  <c r="C36" i="2"/>
  <c r="C35" i="2"/>
  <c r="C34" i="2"/>
  <c r="C33" i="2"/>
  <c r="B36" i="2"/>
  <c r="B35" i="2"/>
  <c r="B34" i="2"/>
  <c r="B33" i="2"/>
  <c r="J30" i="2"/>
  <c r="I30" i="2"/>
  <c r="C30" i="2"/>
  <c r="B30" i="2"/>
  <c r="J29" i="2"/>
  <c r="I29" i="2"/>
  <c r="C29" i="2"/>
  <c r="B29" i="2"/>
  <c r="D50" i="3" l="1"/>
  <c r="H50" i="3" s="1"/>
  <c r="E26" i="3"/>
  <c r="H4" i="3"/>
  <c r="C26" i="3"/>
  <c r="D26" i="3"/>
  <c r="D14" i="3"/>
  <c r="I10" i="2" s="1"/>
  <c r="B14" i="3"/>
  <c r="B10" i="2" s="1"/>
  <c r="H8" i="3"/>
  <c r="G26" i="3"/>
  <c r="G45" i="3" s="1"/>
  <c r="H18" i="3"/>
  <c r="F10" i="3"/>
  <c r="F109" i="3"/>
  <c r="H189" i="3"/>
  <c r="F150" i="3"/>
  <c r="F18" i="3"/>
  <c r="C232" i="3"/>
  <c r="C238" i="3" s="1"/>
  <c r="F199" i="3"/>
  <c r="H20" i="3"/>
  <c r="F8" i="3"/>
  <c r="G232" i="3"/>
  <c r="J49" i="2"/>
  <c r="B232" i="3"/>
  <c r="B238" i="3" s="1"/>
  <c r="F14" i="3"/>
  <c r="H14" i="3"/>
  <c r="I49" i="2"/>
  <c r="P49" i="2" s="1"/>
  <c r="K24" i="2"/>
  <c r="F26" i="3"/>
  <c r="H91" i="3"/>
  <c r="I51" i="2"/>
  <c r="P51" i="2" s="1"/>
  <c r="F4" i="3"/>
  <c r="E45" i="3"/>
  <c r="F205" i="3"/>
  <c r="H199" i="3"/>
  <c r="E232" i="3"/>
  <c r="E238" i="3" s="1"/>
  <c r="H6" i="3"/>
  <c r="C45" i="3"/>
  <c r="B45" i="3"/>
  <c r="D45" i="3"/>
  <c r="J13" i="2"/>
  <c r="J18" i="2"/>
  <c r="E55" i="2"/>
  <c r="D54" i="2"/>
  <c r="P53" i="2"/>
  <c r="E53" i="2"/>
  <c r="E49" i="2"/>
  <c r="O46" i="2"/>
  <c r="E46" i="2"/>
  <c r="P45" i="2"/>
  <c r="D45" i="2"/>
  <c r="D44" i="2"/>
  <c r="K41" i="2"/>
  <c r="O41" i="2"/>
  <c r="D41" i="2"/>
  <c r="O40" i="2"/>
  <c r="E40" i="2"/>
  <c r="K39" i="2"/>
  <c r="P36" i="2"/>
  <c r="D36" i="2"/>
  <c r="E35" i="2"/>
  <c r="P34" i="2"/>
  <c r="J37" i="2"/>
  <c r="O33" i="2"/>
  <c r="E30" i="2"/>
  <c r="L29" i="2"/>
  <c r="E29" i="2"/>
  <c r="J31" i="2"/>
  <c r="E28" i="2"/>
  <c r="P25" i="2"/>
  <c r="J12" i="2"/>
  <c r="I12" i="2"/>
  <c r="P12" i="2" s="1"/>
  <c r="C12" i="2"/>
  <c r="B12" i="2"/>
  <c r="J11" i="2"/>
  <c r="J64" i="2" s="1"/>
  <c r="I11" i="2"/>
  <c r="I64" i="2" s="1"/>
  <c r="C11" i="2"/>
  <c r="C17" i="2" s="1"/>
  <c r="B11" i="2"/>
  <c r="J10" i="2"/>
  <c r="J16" i="2" s="1"/>
  <c r="C10" i="2"/>
  <c r="C16" i="2" s="1"/>
  <c r="J9" i="2"/>
  <c r="I9" i="2"/>
  <c r="O9" i="2" s="1"/>
  <c r="C9" i="2"/>
  <c r="B9" i="2"/>
  <c r="I18" i="2"/>
  <c r="D111" i="2" s="1"/>
  <c r="D115" i="2" s="1"/>
  <c r="C18" i="2"/>
  <c r="D8" i="2"/>
  <c r="P7" i="2"/>
  <c r="J6" i="2"/>
  <c r="J63" i="2" s="1"/>
  <c r="I6" i="2"/>
  <c r="C6" i="2"/>
  <c r="B6" i="2"/>
  <c r="N82" i="2"/>
  <c r="J65" i="2"/>
  <c r="I65" i="2"/>
  <c r="N56" i="2"/>
  <c r="P54" i="2"/>
  <c r="E51" i="2"/>
  <c r="N47" i="2"/>
  <c r="I47" i="2"/>
  <c r="N42" i="2"/>
  <c r="P40" i="2"/>
  <c r="N37" i="2"/>
  <c r="I37" i="2"/>
  <c r="P33" i="2"/>
  <c r="C37" i="2"/>
  <c r="B37" i="2"/>
  <c r="N31" i="2"/>
  <c r="I31" i="2"/>
  <c r="N26" i="2"/>
  <c r="K25" i="2"/>
  <c r="O25" i="2"/>
  <c r="J23" i="2"/>
  <c r="I23" i="2"/>
  <c r="B23" i="2"/>
  <c r="N18" i="2"/>
  <c r="N17" i="2"/>
  <c r="N19" i="2" s="1"/>
  <c r="N21" i="2" s="1"/>
  <c r="N13" i="2"/>
  <c r="N14" i="2" s="1"/>
  <c r="D11" i="2" l="1"/>
  <c r="O13" i="2"/>
  <c r="L49" i="2"/>
  <c r="N58" i="2"/>
  <c r="N60" i="2" s="1"/>
  <c r="O10" i="2"/>
  <c r="I16" i="2"/>
  <c r="F50" i="3"/>
  <c r="D232" i="3"/>
  <c r="D238" i="3" s="1"/>
  <c r="H45" i="3"/>
  <c r="H26" i="3"/>
  <c r="F45" i="3"/>
  <c r="L51" i="2"/>
  <c r="J17" i="2"/>
  <c r="J19" i="2" s="1"/>
  <c r="E10" i="2"/>
  <c r="L41" i="2"/>
  <c r="D29" i="2"/>
  <c r="E34" i="2"/>
  <c r="D39" i="2"/>
  <c r="K33" i="2"/>
  <c r="O51" i="2"/>
  <c r="K26" i="2"/>
  <c r="B47" i="2"/>
  <c r="J26" i="2"/>
  <c r="J42" i="2"/>
  <c r="J47" i="2"/>
  <c r="L47" i="2" s="1"/>
  <c r="J56" i="2"/>
  <c r="I17" i="2"/>
  <c r="D84" i="2" s="1"/>
  <c r="D86" i="2" s="1"/>
  <c r="E54" i="2"/>
  <c r="C31" i="2"/>
  <c r="C56" i="2"/>
  <c r="E9" i="2"/>
  <c r="E12" i="2"/>
  <c r="B42" i="2"/>
  <c r="E45" i="2"/>
  <c r="B56" i="2"/>
  <c r="E8" i="2"/>
  <c r="K30" i="2"/>
  <c r="L10" i="2"/>
  <c r="L24" i="2"/>
  <c r="K40" i="2"/>
  <c r="K42" i="2" s="1"/>
  <c r="B16" i="2"/>
  <c r="O24" i="2"/>
  <c r="O26" i="2" s="1"/>
  <c r="D30" i="2"/>
  <c r="L40" i="2"/>
  <c r="D7" i="2"/>
  <c r="E13" i="2"/>
  <c r="B17" i="2"/>
  <c r="D55" i="2"/>
  <c r="P24" i="2"/>
  <c r="K49" i="2"/>
  <c r="K10" i="2"/>
  <c r="B18" i="2"/>
  <c r="E18" i="2" s="1"/>
  <c r="P10" i="2"/>
  <c r="E36" i="2"/>
  <c r="L33" i="2"/>
  <c r="O49" i="2"/>
  <c r="D46" i="2"/>
  <c r="E39" i="2"/>
  <c r="I56" i="2"/>
  <c r="K34" i="2"/>
  <c r="D28" i="2"/>
  <c r="C26" i="2"/>
  <c r="L34" i="2"/>
  <c r="C14" i="2"/>
  <c r="L39" i="2"/>
  <c r="P41" i="2"/>
  <c r="P46" i="2"/>
  <c r="L30" i="2"/>
  <c r="O34" i="2"/>
  <c r="J66" i="2"/>
  <c r="O11" i="2"/>
  <c r="P11" i="2"/>
  <c r="I26" i="2"/>
  <c r="P26" i="2" s="1"/>
  <c r="C42" i="2"/>
  <c r="C19" i="2"/>
  <c r="P6" i="2"/>
  <c r="I63" i="2"/>
  <c r="I66" i="2" s="1"/>
  <c r="B14" i="2"/>
  <c r="L31" i="2"/>
  <c r="P31" i="2"/>
  <c r="E37" i="2"/>
  <c r="D37" i="2"/>
  <c r="P47" i="2"/>
  <c r="L37" i="2"/>
  <c r="P37" i="2"/>
  <c r="K18" i="2"/>
  <c r="O18" i="2"/>
  <c r="P18" i="2"/>
  <c r="I14" i="2"/>
  <c r="K81" i="2" s="1"/>
  <c r="D6" i="2"/>
  <c r="E44" i="2"/>
  <c r="D34" i="2"/>
  <c r="P39" i="2"/>
  <c r="K45" i="2"/>
  <c r="B31" i="2"/>
  <c r="L36" i="2"/>
  <c r="D51" i="2"/>
  <c r="K54" i="2"/>
  <c r="L7" i="2"/>
  <c r="P8" i="2"/>
  <c r="E11" i="2"/>
  <c r="L13" i="2"/>
  <c r="L28" i="2"/>
  <c r="P29" i="2"/>
  <c r="D33" i="2"/>
  <c r="K35" i="2"/>
  <c r="O36" i="2"/>
  <c r="E41" i="2"/>
  <c r="K44" i="2"/>
  <c r="O45" i="2"/>
  <c r="L54" i="2"/>
  <c r="P55" i="2"/>
  <c r="K9" i="2"/>
  <c r="D35" i="2"/>
  <c r="O30" i="2"/>
  <c r="L46" i="2"/>
  <c r="D53" i="2"/>
  <c r="E6" i="2"/>
  <c r="P9" i="2"/>
  <c r="P30" i="2"/>
  <c r="K36" i="2"/>
  <c r="L55" i="2"/>
  <c r="K7" i="2"/>
  <c r="O8" i="2"/>
  <c r="K13" i="2"/>
  <c r="E25" i="2"/>
  <c r="K28" i="2"/>
  <c r="O29" i="2"/>
  <c r="I42" i="2"/>
  <c r="L45" i="2"/>
  <c r="O55" i="2"/>
  <c r="K6" i="2"/>
  <c r="O7" i="2"/>
  <c r="D10" i="2"/>
  <c r="K12" i="2"/>
  <c r="O28" i="2"/>
  <c r="E33" i="2"/>
  <c r="L35" i="2"/>
  <c r="D40" i="2"/>
  <c r="L44" i="2"/>
  <c r="C47" i="2"/>
  <c r="D49" i="2"/>
  <c r="K53" i="2"/>
  <c r="O54" i="2"/>
  <c r="I69" i="2"/>
  <c r="I70" i="2" s="1"/>
  <c r="K8" i="2"/>
  <c r="L53" i="2"/>
  <c r="J69" i="2"/>
  <c r="J70" i="2" s="1"/>
  <c r="D13" i="2"/>
  <c r="E7" i="2"/>
  <c r="L9" i="2"/>
  <c r="K46" i="2"/>
  <c r="D12" i="2"/>
  <c r="K29" i="2"/>
  <c r="O39" i="2"/>
  <c r="O42" i="2" s="1"/>
  <c r="L8" i="2"/>
  <c r="D25" i="2"/>
  <c r="L12" i="2"/>
  <c r="P28" i="2"/>
  <c r="O35" i="2"/>
  <c r="O6" i="2"/>
  <c r="D9" i="2"/>
  <c r="K11" i="2"/>
  <c r="O12" i="2"/>
  <c r="P13" i="2"/>
  <c r="L25" i="2"/>
  <c r="P35" i="2"/>
  <c r="P44" i="2"/>
  <c r="K51" i="2"/>
  <c r="O53" i="2"/>
  <c r="J14" i="2"/>
  <c r="K55" i="2"/>
  <c r="L6" i="2"/>
  <c r="O44" i="2"/>
  <c r="L11" i="2"/>
  <c r="D42" i="2" l="1"/>
  <c r="D79" i="2"/>
  <c r="D80" i="2" s="1"/>
  <c r="P16" i="2"/>
  <c r="F232" i="3"/>
  <c r="H232" i="3"/>
  <c r="E14" i="2"/>
  <c r="O16" i="2"/>
  <c r="K16" i="2"/>
  <c r="K17" i="2"/>
  <c r="E56" i="2"/>
  <c r="D56" i="2"/>
  <c r="C21" i="2"/>
  <c r="J58" i="2"/>
  <c r="O17" i="2"/>
  <c r="D47" i="2"/>
  <c r="L17" i="2"/>
  <c r="I19" i="2"/>
  <c r="P17" i="2"/>
  <c r="L56" i="2"/>
  <c r="E42" i="2"/>
  <c r="P56" i="2"/>
  <c r="K56" i="2"/>
  <c r="K37" i="2"/>
  <c r="O14" i="2"/>
  <c r="O37" i="2"/>
  <c r="K31" i="2"/>
  <c r="L26" i="2"/>
  <c r="D18" i="2"/>
  <c r="J21" i="2"/>
  <c r="C58" i="2"/>
  <c r="O31" i="2"/>
  <c r="E17" i="2"/>
  <c r="D17" i="2"/>
  <c r="E47" i="2"/>
  <c r="D14" i="2"/>
  <c r="E31" i="2"/>
  <c r="D31" i="2"/>
  <c r="E16" i="2"/>
  <c r="D16" i="2"/>
  <c r="B19" i="2"/>
  <c r="O56" i="2"/>
  <c r="K47" i="2"/>
  <c r="P14" i="2"/>
  <c r="L14" i="2"/>
  <c r="K14" i="2"/>
  <c r="O47" i="2"/>
  <c r="P42" i="2"/>
  <c r="L42" i="2"/>
  <c r="I58" i="2"/>
  <c r="K90" i="2" s="1"/>
  <c r="P19" i="2" l="1"/>
  <c r="I97" i="2"/>
  <c r="I98" i="2" s="1"/>
  <c r="K19" i="2"/>
  <c r="K21" i="2" s="1"/>
  <c r="O19" i="2"/>
  <c r="O21" i="2" s="1"/>
  <c r="J60" i="2"/>
  <c r="J73" i="2" s="1"/>
  <c r="I21" i="2"/>
  <c r="P21" i="2" s="1"/>
  <c r="L19" i="2"/>
  <c r="C60" i="2"/>
  <c r="L58" i="2"/>
  <c r="K58" i="2"/>
  <c r="O58" i="2"/>
  <c r="E19" i="2"/>
  <c r="B21" i="2"/>
  <c r="D19" i="2"/>
  <c r="D21" i="2" s="1"/>
  <c r="I60" i="2" l="1"/>
  <c r="L21" i="2"/>
  <c r="K60" i="2"/>
  <c r="E21" i="2"/>
  <c r="I73" i="2" l="1"/>
  <c r="D119" i="2"/>
  <c r="D120" i="2" s="1"/>
  <c r="I99" i="2"/>
  <c r="O60" i="2"/>
  <c r="D24" i="2" l="1"/>
  <c r="B26" i="2" l="1"/>
  <c r="E24" i="2"/>
  <c r="E26" i="2" l="1"/>
  <c r="B58" i="2"/>
  <c r="D26" i="2"/>
  <c r="B60" i="2" l="1"/>
  <c r="D60" i="2" s="1"/>
  <c r="D58" i="2"/>
</calcChain>
</file>

<file path=xl/sharedStrings.xml><?xml version="1.0" encoding="utf-8"?>
<sst xmlns="http://schemas.openxmlformats.org/spreadsheetml/2006/main" count="383" uniqueCount="321">
  <si>
    <t xml:space="preserve"> FY2027            05 - AUG Revenue</t>
  </si>
  <si>
    <t xml:space="preserve"> FY2027            05 - AUG Budget</t>
  </si>
  <si>
    <t>FY2027 Annual Revenue Budget</t>
  </si>
  <si>
    <t xml:space="preserve"> FY2027                 01-Apr - 05 - AUG % of Annual Budget</t>
  </si>
  <si>
    <t>REVENUE</t>
  </si>
  <si>
    <t>R01        - Transfer Tax</t>
  </si>
  <si>
    <t>10-400-0100 - Transfer Tax</t>
  </si>
  <si>
    <t>R02        - Accommodation Tax</t>
  </si>
  <si>
    <t>10-400-0200 - Accommodations Tax</t>
  </si>
  <si>
    <t>R03        - Hotel Tax</t>
  </si>
  <si>
    <t>10-400-0250 - Hotel Tax</t>
  </si>
  <si>
    <t>R04        - Business Licenses</t>
  </si>
  <si>
    <t>10-401-0050 - Business License Fines</t>
  </si>
  <si>
    <t>10-401-0100 - Rental License</t>
  </si>
  <si>
    <t>10-401-0300 - Commerical Business</t>
  </si>
  <si>
    <t>R05        - Parking Permits &amp; Meters</t>
  </si>
  <si>
    <t>10-401-0500 - Seasonal</t>
  </si>
  <si>
    <t>10-401-0600 - Daily</t>
  </si>
  <si>
    <t>10-401-0700 - Hourly Parking</t>
  </si>
  <si>
    <t>R06        - Building Permits</t>
  </si>
  <si>
    <t>10-401-0800 - Building Permits</t>
  </si>
  <si>
    <t>R07        - Total Fines</t>
  </si>
  <si>
    <t>10-402-0100 - Parking Tickets</t>
  </si>
  <si>
    <t>10-402-0150 - Delinquent Parking Tickets</t>
  </si>
  <si>
    <t>10-402-0300 - Ordinance Fines &amp; Court Costs</t>
  </si>
  <si>
    <t>10-402-0400 - Traffic Fines</t>
  </si>
  <si>
    <t>10-402-0700 - Fines - Other Courts</t>
  </si>
  <si>
    <t>R08        - All Other Revenue</t>
  </si>
  <si>
    <t>10-400-0300 - Cable TV Franchise</t>
  </si>
  <si>
    <t>10-400-0400 - Beach Concession Contract</t>
  </si>
  <si>
    <t>10-401-0850 - Builing Permit Application Fees</t>
  </si>
  <si>
    <t>10-401-0900 - Beach Fire</t>
  </si>
  <si>
    <t>10-401-1100 - Dog Licenses</t>
  </si>
  <si>
    <t>10-404-0000 - Misc / Other</t>
  </si>
  <si>
    <t>10-404-0100 - Public Hearing Fees</t>
  </si>
  <si>
    <t>10-404-0500 - Donations</t>
  </si>
  <si>
    <t>10-404-0550 - Marketing Donations</t>
  </si>
  <si>
    <t>10-404-0600 - Police Reports</t>
  </si>
  <si>
    <t>10-404-0700 - Police Extra Duty - Pay Jobs</t>
  </si>
  <si>
    <t>10-404-0750 - Police Grant Duty</t>
  </si>
  <si>
    <t>10-404-0800 - Pension State Funding</t>
  </si>
  <si>
    <t>10-404-0900 - Misc</t>
  </si>
  <si>
    <t>10-404-1000 - Town Hall Other</t>
  </si>
  <si>
    <t>10-408-0200 - Annual in Perpetuity</t>
  </si>
  <si>
    <t>Total Revenue</t>
  </si>
  <si>
    <t xml:space="preserve"> FY2027            05 - AUG Expense</t>
  </si>
  <si>
    <t xml:space="preserve"> FY2027               01-Apr - 05 - AUG YTD Expense</t>
  </si>
  <si>
    <t xml:space="preserve"> FY2027               01-Apr - 05 - AUG YTD Budget</t>
  </si>
  <si>
    <t xml:space="preserve"> FY2027               01-Apr - 05 - AUG % of YTD Budget</t>
  </si>
  <si>
    <t>FY2027 Annual Expense Budget</t>
  </si>
  <si>
    <t xml:space="preserve"> FY2027               01-Apr - 05 - AUG % of Annual Budget</t>
  </si>
  <si>
    <t>EXPENSE</t>
  </si>
  <si>
    <t>601 - Town Expenses</t>
  </si>
  <si>
    <t>E00        - Administrative</t>
  </si>
  <si>
    <t>10-601-0101 - Banking, Collection &amp; Credit Card Fees</t>
  </si>
  <si>
    <t>10-601-0150 - Bank Interest - LOAN</t>
  </si>
  <si>
    <t>10-601-0200 - Commissioner &amp; Committee Exp</t>
  </si>
  <si>
    <t>10-601-0250 - Election Expenses</t>
  </si>
  <si>
    <t>10-601-0300 - Donations</t>
  </si>
  <si>
    <t>10-601-0400 - Code Update</t>
  </si>
  <si>
    <t>10-601-0500 - Legal Fees - Regular</t>
  </si>
  <si>
    <t>10-601-0600 - Audit Fees</t>
  </si>
  <si>
    <t>10-601-0800 - Beach &amp; Marketing Events</t>
  </si>
  <si>
    <t>10-601-0850 - Donation / Sponsorship Purchase</t>
  </si>
  <si>
    <t>10-601-0900 - Computer Hardware, Software &amp; Support</t>
  </si>
  <si>
    <t>10-601-1000 - Employee Bonuses</t>
  </si>
  <si>
    <t>10-601-1050 - Payroll Expenses</t>
  </si>
  <si>
    <t>10-601-1075 - Compensated Absence Exp.</t>
  </si>
  <si>
    <t>10-601-1100 - Legal Ads</t>
  </si>
  <si>
    <t>10-601-1200 - Dues Publications &amp; Subscriptio</t>
  </si>
  <si>
    <t>10-601-1300 - Cleaning</t>
  </si>
  <si>
    <t>10-601-1325 - Pest Control</t>
  </si>
  <si>
    <t>10-601-1350 - Building Maintenance</t>
  </si>
  <si>
    <t>10-601-1375 - Utilities</t>
  </si>
  <si>
    <t>10-601-1500 - Gas</t>
  </si>
  <si>
    <t>10-601-1525 - Electric Vehicle Charging</t>
  </si>
  <si>
    <t>10-601-1550 - Mileage Reimbursement</t>
  </si>
  <si>
    <t>10-601-1575 - Auto Maintenance &amp; Repairs</t>
  </si>
  <si>
    <t>10-601-1600 - Postage</t>
  </si>
  <si>
    <t>10-601-1700 - Professional Fees</t>
  </si>
  <si>
    <t>10-601-1800 - Supplies</t>
  </si>
  <si>
    <t>E10        - Operating</t>
  </si>
  <si>
    <t>10-601-2002 - Bayard Avenue Operating</t>
  </si>
  <si>
    <t>10-601-2100 - Beautification</t>
  </si>
  <si>
    <t>10-601-2200 - Trash</t>
  </si>
  <si>
    <t>10-601-2300 - Street Signs / Lights</t>
  </si>
  <si>
    <t>10-601-2400 - Parking Meter / Permit Expenses</t>
  </si>
  <si>
    <t>10-601-2700 - Town Hall Property Expenses</t>
  </si>
  <si>
    <t>10-601-2725 - Rental Expense</t>
  </si>
  <si>
    <t>10-601-2750 - Town Street Projects</t>
  </si>
  <si>
    <t>10-601-2800 - Storm Water / Street Flooding</t>
  </si>
  <si>
    <t>602 - Administration</t>
  </si>
  <si>
    <t>E01        - Employee Expenses</t>
  </si>
  <si>
    <t>10-602-0101 - Salary &amp; Wages</t>
  </si>
  <si>
    <t>10-602-0102 - Overtime</t>
  </si>
  <si>
    <t>10-602-0110 - Payroll Taxes</t>
  </si>
  <si>
    <t>10-602-0130 - Employee Benefits</t>
  </si>
  <si>
    <t>10-602-0140 - Pension Plan</t>
  </si>
  <si>
    <t>10-602-0150 - Uniforms</t>
  </si>
  <si>
    <t>10-602-0160 - Workers Comp</t>
  </si>
  <si>
    <t>E03        - Seasonal Employee Expenses</t>
  </si>
  <si>
    <t>10-602-0301 - Salary &amp; Wages</t>
  </si>
  <si>
    <t>10-602-0310 - Payroll Taxes</t>
  </si>
  <si>
    <t>10-602-0360 - Workers Comp</t>
  </si>
  <si>
    <t>10-602-1200 - Insurance</t>
  </si>
  <si>
    <t>10-602-1400 - Training</t>
  </si>
  <si>
    <t>10-602-1700 - Misc</t>
  </si>
  <si>
    <t>10-602-2050 - Equipment / Asset - Depreciable</t>
  </si>
  <si>
    <t>603 - Police</t>
  </si>
  <si>
    <t>10-603-0101 - Salary &amp; Wages</t>
  </si>
  <si>
    <t>10-603-0102 - Overtime</t>
  </si>
  <si>
    <t>10-603-0103 - Special Duty 1 - Pay Jobs</t>
  </si>
  <si>
    <t>10-603-0104 - Special Duty 2 - Extra Duty</t>
  </si>
  <si>
    <t>10-603-0105 - Grant OT</t>
  </si>
  <si>
    <t>10-603-0110 - Payroll Taxes</t>
  </si>
  <si>
    <t>10-603-0130 - Employee Benefits</t>
  </si>
  <si>
    <t>10-603-0140 - Pension Plan</t>
  </si>
  <si>
    <t>10-603-0150 - Uniforms</t>
  </si>
  <si>
    <t>10-603-0160 - Workers Comp</t>
  </si>
  <si>
    <t>E02        - Administrative Employee Expenses</t>
  </si>
  <si>
    <t>10-603-0201 - Salary &amp; Wages</t>
  </si>
  <si>
    <t>10-603-0202 - Overtime</t>
  </si>
  <si>
    <t>10-603-0210 - Payroll Taxes</t>
  </si>
  <si>
    <t>10-603-0230 - Employee Benefits</t>
  </si>
  <si>
    <t>10-603-0240 - Pension Plan</t>
  </si>
  <si>
    <t>10-603-0250 - Uniforms</t>
  </si>
  <si>
    <t>10-603-0260 - Workers Comp</t>
  </si>
  <si>
    <t>10-603-0301 - Salary &amp; Wages</t>
  </si>
  <si>
    <t>10-603-0302 - Overtime</t>
  </si>
  <si>
    <t>10-603-0310 - Payroll Taxes</t>
  </si>
  <si>
    <t>10-603-0350 - Uniforms</t>
  </si>
  <si>
    <t>10-603-0360 - Workers Comp</t>
  </si>
  <si>
    <t>10-603-0400 - Outside Assistance - Events</t>
  </si>
  <si>
    <t>10-603-1125 - New Hire Fees</t>
  </si>
  <si>
    <t>10-603-1200 - Insurance</t>
  </si>
  <si>
    <t>10-603-1300 - Dues Publications &amp; Subscriptio</t>
  </si>
  <si>
    <t>10-603-1400 - Training - Year Round Officers</t>
  </si>
  <si>
    <t>10-603-1425 - Training - Admin Employees</t>
  </si>
  <si>
    <t>10-603-1450 - Training - Seasonal Officers</t>
  </si>
  <si>
    <t>10-603-1475 - Weapons / Ammunition</t>
  </si>
  <si>
    <t>10-603-1550 - K9 Program</t>
  </si>
  <si>
    <t>10-603-1700 - Misc</t>
  </si>
  <si>
    <t>10-603-1800 - Equipment Maintenance</t>
  </si>
  <si>
    <t>10-603-1900 - Drug Testing</t>
  </si>
  <si>
    <t>10-603-2000 - Equipment / Asset Purchase</t>
  </si>
  <si>
    <t>10-603-2050 - Equipment / Asset - Depreciable</t>
  </si>
  <si>
    <t>604 - Maintenance</t>
  </si>
  <si>
    <t>10-604-0101 - Salary &amp; Wages</t>
  </si>
  <si>
    <t>10-604-0102 - Overtime</t>
  </si>
  <si>
    <t>10-604-0110 - Payroll Taxes</t>
  </si>
  <si>
    <t>10-604-0130 - Employee Benefits</t>
  </si>
  <si>
    <t>10-604-0140 - Pension Plan</t>
  </si>
  <si>
    <t>10-604-0150 - Uniforms</t>
  </si>
  <si>
    <t>10-604-0160 - Workers Comp</t>
  </si>
  <si>
    <t>10-604-0301 - Salary &amp; Wages</t>
  </si>
  <si>
    <t>10-604-0302 - Overtime</t>
  </si>
  <si>
    <t>10-604-0310 - Payroll Taxes</t>
  </si>
  <si>
    <t>10-604-0350 - Uniforms</t>
  </si>
  <si>
    <t>10-604-0360 - Workers Comp</t>
  </si>
  <si>
    <t>E05        - Building Expenses</t>
  </si>
  <si>
    <t>10-604-0501 - Utilities</t>
  </si>
  <si>
    <t>10-604-0530 - Building Maintenance</t>
  </si>
  <si>
    <t>10-604-1500 - Supplies</t>
  </si>
  <si>
    <t>10-604-1700 - Misc</t>
  </si>
  <si>
    <t>10-604-1800 - Equipment Maintenance</t>
  </si>
  <si>
    <t>605 - Parking Enforcement</t>
  </si>
  <si>
    <t>10-605-0101 - Salary &amp; Wages</t>
  </si>
  <si>
    <t>10-605-0102 - Overtime</t>
  </si>
  <si>
    <t>10-605-0110 - Payroll Taxes</t>
  </si>
  <si>
    <t>10-605-0130 - Employee Benefits</t>
  </si>
  <si>
    <t>10-605-0150 - Uniforms</t>
  </si>
  <si>
    <t>10-605-0160 - Workers Comp</t>
  </si>
  <si>
    <t>10-605-0301 - Salary &amp; Wages</t>
  </si>
  <si>
    <t>10-605-0302 - Overtime</t>
  </si>
  <si>
    <t>10-605-0310 - Payroll Taxes</t>
  </si>
  <si>
    <t>10-605-0350 - Uniforms</t>
  </si>
  <si>
    <t>10-605-0360 - Workers Comp</t>
  </si>
  <si>
    <t>10-605-1700 - Misc</t>
  </si>
  <si>
    <t>10-605-1800 - Equipment Maintenance</t>
  </si>
  <si>
    <t>606 - Building Official</t>
  </si>
  <si>
    <t>10-606-0101 - Salary &amp; Wages</t>
  </si>
  <si>
    <t>10-606-0110 - Payroll Taxes</t>
  </si>
  <si>
    <t>10-606-0130 - Employee Benefits</t>
  </si>
  <si>
    <t>10-606-0140 - Pension Plan</t>
  </si>
  <si>
    <t>10-606-0150 - Uniforms</t>
  </si>
  <si>
    <t>10-606-0160 - Workers Comp</t>
  </si>
  <si>
    <t>10-606-1400 - Training</t>
  </si>
  <si>
    <t>607 - Alderman</t>
  </si>
  <si>
    <t>10-607-0101 - Salary &amp; Wages</t>
  </si>
  <si>
    <t>10-607-0110 - Payroll Taxes</t>
  </si>
  <si>
    <t>10-607-0160 - Workers Comp</t>
  </si>
  <si>
    <t>608 - Beach Patrol</t>
  </si>
  <si>
    <t>10-608-0101 - Salary &amp; Wages</t>
  </si>
  <si>
    <t>10-608-0110 - Payroll Taxes</t>
  </si>
  <si>
    <t>10-608-0130 - Employee Benefits</t>
  </si>
  <si>
    <t>10-608-0160 - Workers Comp</t>
  </si>
  <si>
    <t>10-608-0300 - Seasonal Employees</t>
  </si>
  <si>
    <t>10-608-0301 - Salary &amp; Wages</t>
  </si>
  <si>
    <t>10-608-0302 - Overtime</t>
  </si>
  <si>
    <t>10-608-0310 - Payroll Taxes</t>
  </si>
  <si>
    <t>10-608-0350 - Uniforms</t>
  </si>
  <si>
    <t>10-608-0360 - Workers Comp</t>
  </si>
  <si>
    <t>10-608-0370 - Drug Testing</t>
  </si>
  <si>
    <t>10-608-0501 - Utilities</t>
  </si>
  <si>
    <t>10-608-0510 - Cleaning</t>
  </si>
  <si>
    <t>10-608-0520 - Pest Control</t>
  </si>
  <si>
    <t>10-608-0530 - Building Maintenance</t>
  </si>
  <si>
    <t>10-608-1200 - Insurance</t>
  </si>
  <si>
    <t>10-608-1300 - Dues Publications &amp; Subscriptio</t>
  </si>
  <si>
    <t>10-608-1400 - Training</t>
  </si>
  <si>
    <t>10-608-1500 - Supplies</t>
  </si>
  <si>
    <t>10-608-1700 - Misc</t>
  </si>
  <si>
    <t>10-608-1800 - DBP Donations Purchases</t>
  </si>
  <si>
    <t>10-608-1900 - Equipment Maintenance</t>
  </si>
  <si>
    <t>Total Expense</t>
  </si>
  <si>
    <t xml:space="preserve"> FY2027                    01-Apr - 05 - AUG % of YTD Budget</t>
  </si>
  <si>
    <t xml:space="preserve"> FY2027                   01-Apr - 05 - AUG YTD Budget</t>
  </si>
  <si>
    <t xml:space="preserve"> FY2027                   01-Apr - 05 - AUG YTD Revenue</t>
  </si>
  <si>
    <t>UNAUDITED</t>
  </si>
  <si>
    <t>Monthly</t>
  </si>
  <si>
    <t>Budget</t>
  </si>
  <si>
    <t>$OverBud</t>
  </si>
  <si>
    <t>% of Budget</t>
  </si>
  <si>
    <t>Revenue</t>
  </si>
  <si>
    <t>YTD Budget</t>
  </si>
  <si>
    <t>% of  YTD Budget</t>
  </si>
  <si>
    <t>Annual Budget</t>
  </si>
  <si>
    <t>% of Annual Budget</t>
  </si>
  <si>
    <t>Transfer Tax</t>
  </si>
  <si>
    <t xml:space="preserve"> </t>
  </si>
  <si>
    <t>Accommodation Tax</t>
  </si>
  <si>
    <t>Hotel Tax</t>
  </si>
  <si>
    <t>Business Licenses</t>
  </si>
  <si>
    <t>Parking Permits &amp; Meters</t>
  </si>
  <si>
    <t>Building Permits</t>
  </si>
  <si>
    <t>Total Fines</t>
  </si>
  <si>
    <t>All Other Revenue</t>
  </si>
  <si>
    <t>Building Permints - to Streets &amp; Infrastructure</t>
  </si>
  <si>
    <t>Hotel Tax - to Capital Improvements - Town Hall</t>
  </si>
  <si>
    <t>Allocations</t>
  </si>
  <si>
    <t>Net Revenues</t>
  </si>
  <si>
    <t>Expenses</t>
  </si>
  <si>
    <t xml:space="preserve">Town Administrative Expenses </t>
  </si>
  <si>
    <t>Town Operating Expenses</t>
  </si>
  <si>
    <t>Total Town Expenses</t>
  </si>
  <si>
    <t>Admin Employee Expenses</t>
  </si>
  <si>
    <t>Seasonal Admin Employee Expenses</t>
  </si>
  <si>
    <t>All Other Admin Expense</t>
  </si>
  <si>
    <t>Total Administration Expenses</t>
  </si>
  <si>
    <t>Police Employee Expenses</t>
  </si>
  <si>
    <t>Police Admin Employee Expenses</t>
  </si>
  <si>
    <t>Seasonal Police Employee Expenses</t>
  </si>
  <si>
    <t>All Other Police Expenses</t>
  </si>
  <si>
    <t>Total Police Expenses</t>
  </si>
  <si>
    <t>Maintenance Employee Expenses</t>
  </si>
  <si>
    <t>Seasonal Maintenance Employee Expenses</t>
  </si>
  <si>
    <t>All Other Maintenance Expenses</t>
  </si>
  <si>
    <t>Total Maintenance Expenses</t>
  </si>
  <si>
    <t>Parking Enforcement Employee Expenses</t>
  </si>
  <si>
    <t>Seasonal Parking Employee Expenses</t>
  </si>
  <si>
    <t>All Other Parking Enforcement Expenses</t>
  </si>
  <si>
    <t>Total Parking Enforcement Expenses</t>
  </si>
  <si>
    <t>Total BuildingOfficial Expenses</t>
  </si>
  <si>
    <t>Total Alderman Court Expenses</t>
  </si>
  <si>
    <t>Lifeguard Employee Expenses</t>
  </si>
  <si>
    <t>Seasonal Lifeguard Employee Expenses</t>
  </si>
  <si>
    <t>All Other Lifeguard &amp; LSS Expense</t>
  </si>
  <si>
    <t>Total Lifeguard &amp; LSS Expenses</t>
  </si>
  <si>
    <t>Net Operating Budget Performance</t>
  </si>
  <si>
    <t>Set Asides:</t>
  </si>
  <si>
    <t>Transfer to Streets / Infrastructure</t>
  </si>
  <si>
    <t>3% Transfer Tax</t>
  </si>
  <si>
    <t>20% Building Permits</t>
  </si>
  <si>
    <t>5% Daily &amp; Seasonal Permits</t>
  </si>
  <si>
    <t>Total to Streets / Infrastructure</t>
  </si>
  <si>
    <t>Capital Improvements</t>
  </si>
  <si>
    <t>Hotel Tax (50%)</t>
  </si>
  <si>
    <t>Total for Captial Improvements</t>
  </si>
  <si>
    <t>Net Operations</t>
  </si>
  <si>
    <t>General Fund Financial Overview: August 2026 - OPERATING</t>
  </si>
  <si>
    <t>August 2026</t>
  </si>
  <si>
    <t>Annual FY27</t>
  </si>
  <si>
    <t>10-404-0300 - Interest Income - TOWN HALL</t>
  </si>
  <si>
    <t>10-404-0300 - Interest Income - REMAINDER</t>
  </si>
  <si>
    <t>A</t>
  </si>
  <si>
    <t>M</t>
  </si>
  <si>
    <t>J</t>
  </si>
  <si>
    <t>10-601-1700 - Professional Fees - COMP PLAN</t>
  </si>
  <si>
    <t>10-601-1200 - Dues Publications &amp; Subscriptio - PD</t>
  </si>
  <si>
    <t xml:space="preserve">Rainy Day </t>
  </si>
  <si>
    <t>Parking to Rainy Day Fund ($182,222 Max)</t>
  </si>
  <si>
    <t xml:space="preserve">  Begnning</t>
  </si>
  <si>
    <t xml:space="preserve">     Ending</t>
  </si>
  <si>
    <t xml:space="preserve">   Beginning</t>
  </si>
  <si>
    <t xml:space="preserve">   Begniing</t>
  </si>
  <si>
    <t xml:space="preserve">   Set Aside</t>
  </si>
  <si>
    <t xml:space="preserve">   Changes</t>
  </si>
  <si>
    <t>Full to Operating</t>
  </si>
  <si>
    <t xml:space="preserve">   Loan</t>
  </si>
  <si>
    <t xml:space="preserve">   Reclass to public Safety</t>
  </si>
  <si>
    <t xml:space="preserve">   Reclass from Cap Improv</t>
  </si>
  <si>
    <t>Unassigned</t>
  </si>
  <si>
    <t xml:space="preserve">   Performance</t>
  </si>
  <si>
    <t>Full Data</t>
  </si>
  <si>
    <t xml:space="preserve">   Revenue</t>
  </si>
  <si>
    <t xml:space="preserve">   Expenses</t>
  </si>
  <si>
    <t xml:space="preserve">   Operating</t>
  </si>
  <si>
    <t xml:space="preserve">      Varaince / Check</t>
  </si>
  <si>
    <t xml:space="preserve">   Set Asides</t>
  </si>
  <si>
    <t>s</t>
  </si>
  <si>
    <t>c</t>
  </si>
  <si>
    <t>t</t>
  </si>
  <si>
    <t>p</t>
  </si>
  <si>
    <t>b</t>
  </si>
  <si>
    <t>Town Hall (t)</t>
  </si>
  <si>
    <t xml:space="preserve">Comprehensive Plan (c) </t>
  </si>
  <si>
    <t>Streets &amp; Inrfastructure (s)</t>
  </si>
  <si>
    <t>Public Safety (p)</t>
  </si>
  <si>
    <t>Beach Safety (b)</t>
  </si>
  <si>
    <t xml:space="preserve">  Not included in f/s presentation</t>
  </si>
  <si>
    <t xml:space="preserve">   Donations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</si>
</sst>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;\(#,##0\)"/>
    <numFmt numFmtId="165" formatCode="_(* #,##0_);_(* \(#,##0\);_(* &quot;-&quot;??_);_(@_)"/>
    <numFmt numFmtId="166" formatCode="[$-409]mmm\-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212121"/>
      <name val="Calibri"/>
      <family val="2"/>
      <scheme val="minor"/>
    </font>
    <font>
      <sz val="11"/>
      <color rgb="FF212121"/>
      <name val="Calibri"/>
      <family val="2"/>
      <scheme val="minor"/>
    </font>
    <font>
      <b/>
      <i/>
      <sz val="11"/>
      <color rgb="FF21212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6F6F6"/>
      </patternFill>
    </fill>
    <fill>
      <patternFill patternType="solid">
        <fgColor rgb="FFEDEEE1"/>
      </patternFill>
    </fill>
    <fill>
      <patternFill patternType="solid">
        <fgColor rgb="FFB9E52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0" fillId="3" borderId="1" xfId="0" applyFill="1" applyBorder="1"/>
    <xf numFmtId="0" fontId="0" fillId="0" borderId="0" xfId="0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top" wrapText="1"/>
    </xf>
    <xf numFmtId="164" fontId="4" fillId="4" borderId="1" xfId="0" applyNumberFormat="1" applyFont="1" applyFill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4" fillId="5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lef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164" fontId="3" fillId="6" borderId="1" xfId="0" applyNumberFormat="1" applyFont="1" applyFill="1" applyBorder="1" applyAlignment="1">
      <alignment horizontal="right" vertical="center" wrapText="1"/>
    </xf>
    <xf numFmtId="164" fontId="3" fillId="6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9" fontId="5" fillId="0" borderId="0" xfId="2" applyFont="1"/>
    <xf numFmtId="0" fontId="5" fillId="0" borderId="0" xfId="0" applyFont="1"/>
    <xf numFmtId="0" fontId="7" fillId="0" borderId="0" xfId="0" applyFont="1"/>
    <xf numFmtId="0" fontId="8" fillId="0" borderId="0" xfId="0" applyFont="1"/>
    <xf numFmtId="165" fontId="8" fillId="0" borderId="0" xfId="1" applyNumberFormat="1" applyFont="1"/>
    <xf numFmtId="166" fontId="5" fillId="0" borderId="2" xfId="0" quotePrefix="1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5" fontId="5" fillId="0" borderId="2" xfId="1" applyNumberFormat="1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16" fontId="5" fillId="0" borderId="2" xfId="0" quotePrefix="1" applyNumberFormat="1" applyFont="1" applyBorder="1" applyAlignment="1">
      <alignment horizontal="center" wrapText="1"/>
    </xf>
    <xf numFmtId="16" fontId="5" fillId="0" borderId="2" xfId="0" applyNumberFormat="1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165" fontId="8" fillId="0" borderId="3" xfId="1" applyNumberFormat="1" applyFont="1" applyBorder="1"/>
    <xf numFmtId="9" fontId="8" fillId="0" borderId="0" xfId="2" applyFont="1" applyAlignment="1">
      <alignment horizontal="center"/>
    </xf>
    <xf numFmtId="165" fontId="5" fillId="7" borderId="3" xfId="1" applyNumberFormat="1" applyFont="1" applyFill="1" applyBorder="1"/>
    <xf numFmtId="0" fontId="5" fillId="7" borderId="0" xfId="0" applyFont="1" applyFill="1"/>
    <xf numFmtId="165" fontId="8" fillId="0" borderId="0" xfId="0" applyNumberFormat="1" applyFont="1"/>
    <xf numFmtId="0" fontId="8" fillId="0" borderId="0" xfId="0" applyFont="1" applyAlignment="1">
      <alignment horizontal="center"/>
    </xf>
    <xf numFmtId="9" fontId="8" fillId="0" borderId="0" xfId="0" applyNumberFormat="1" applyFont="1"/>
    <xf numFmtId="0" fontId="10" fillId="0" borderId="0" xfId="0" applyFont="1"/>
    <xf numFmtId="165" fontId="5" fillId="0" borderId="2" xfId="1" applyNumberFormat="1" applyFont="1" applyBorder="1"/>
    <xf numFmtId="9" fontId="5" fillId="0" borderId="0" xfId="2" applyFont="1" applyAlignment="1">
      <alignment horizontal="center"/>
    </xf>
    <xf numFmtId="165" fontId="5" fillId="8" borderId="3" xfId="1" applyNumberFormat="1" applyFont="1" applyFill="1" applyBorder="1"/>
    <xf numFmtId="43" fontId="8" fillId="0" borderId="0" xfId="1" applyFont="1"/>
    <xf numFmtId="9" fontId="8" fillId="0" borderId="0" xfId="2" applyFont="1" applyBorder="1" applyAlignment="1">
      <alignment horizontal="center"/>
    </xf>
    <xf numFmtId="3" fontId="5" fillId="0" borderId="0" xfId="0" applyNumberFormat="1" applyFont="1"/>
    <xf numFmtId="0" fontId="11" fillId="0" borderId="0" xfId="0" applyFont="1"/>
    <xf numFmtId="165" fontId="11" fillId="0" borderId="0" xfId="1" applyNumberFormat="1" applyFont="1" applyFill="1"/>
    <xf numFmtId="0" fontId="11" fillId="0" borderId="0" xfId="0" applyFont="1" applyAlignment="1">
      <alignment wrapText="1"/>
    </xf>
    <xf numFmtId="165" fontId="11" fillId="0" borderId="0" xfId="1" applyNumberFormat="1" applyFont="1"/>
    <xf numFmtId="0" fontId="11" fillId="9" borderId="0" xfId="0" applyFont="1" applyFill="1"/>
    <xf numFmtId="0" fontId="11" fillId="9" borderId="0" xfId="0" applyFont="1" applyFill="1" applyAlignment="1">
      <alignment wrapText="1"/>
    </xf>
    <xf numFmtId="165" fontId="11" fillId="9" borderId="0" xfId="1" applyNumberFormat="1" applyFont="1" applyFill="1"/>
    <xf numFmtId="165" fontId="11" fillId="0" borderId="0" xfId="1" applyNumberFormat="1" applyFont="1" applyFill="1" applyAlignment="1">
      <alignment vertical="top"/>
    </xf>
    <xf numFmtId="49" fontId="11" fillId="0" borderId="0" xfId="1" applyNumberFormat="1" applyFont="1" applyAlignment="1">
      <alignment wrapText="1"/>
    </xf>
    <xf numFmtId="49" fontId="11" fillId="0" borderId="0" xfId="1" applyNumberFormat="1" applyFont="1" applyAlignment="1"/>
    <xf numFmtId="165" fontId="11" fillId="9" borderId="0" xfId="0" applyNumberFormat="1" applyFont="1" applyFill="1"/>
    <xf numFmtId="9" fontId="11" fillId="0" borderId="0" xfId="2" applyFont="1"/>
    <xf numFmtId="165" fontId="10" fillId="0" borderId="0" xfId="1" applyNumberFormat="1" applyFont="1" applyFill="1"/>
    <xf numFmtId="165" fontId="10" fillId="0" borderId="0" xfId="0" applyNumberFormat="1" applyFont="1"/>
    <xf numFmtId="43" fontId="8" fillId="0" borderId="0" xfId="0" applyNumberFormat="1" applyFont="1"/>
    <xf numFmtId="43" fontId="0" fillId="0" borderId="0" xfId="1" applyFont="1"/>
    <xf numFmtId="164" fontId="0" fillId="0" borderId="0" xfId="0" applyNumberFormat="1"/>
    <xf numFmtId="9" fontId="4" fillId="5" borderId="1" xfId="2" applyFont="1" applyFill="1" applyBorder="1" applyAlignment="1">
      <alignment horizontal="right" vertical="center" wrapText="1"/>
    </xf>
    <xf numFmtId="9" fontId="2" fillId="2" borderId="1" xfId="2" applyFont="1" applyFill="1" applyBorder="1" applyAlignment="1">
      <alignment horizontal="center" vertical="top" wrapText="1"/>
    </xf>
    <xf numFmtId="9" fontId="0" fillId="3" borderId="1" xfId="2" applyFont="1" applyFill="1" applyBorder="1"/>
    <xf numFmtId="9" fontId="4" fillId="4" borderId="1" xfId="2" applyFont="1" applyFill="1" applyBorder="1" applyAlignment="1">
      <alignment horizontal="right" vertical="center" wrapText="1"/>
    </xf>
    <xf numFmtId="9" fontId="3" fillId="3" borderId="1" xfId="2" applyFont="1" applyFill="1" applyBorder="1" applyAlignment="1">
      <alignment horizontal="right" vertical="center" wrapText="1"/>
    </xf>
    <xf numFmtId="9" fontId="3" fillId="2" borderId="1" xfId="2" applyFont="1" applyFill="1" applyBorder="1" applyAlignment="1">
      <alignment horizontal="right" vertical="center" wrapText="1"/>
    </xf>
    <xf numFmtId="9" fontId="0" fillId="0" borderId="0" xfId="2" applyFont="1"/>
    <xf numFmtId="9" fontId="3" fillId="2" borderId="1" xfId="2" applyFont="1" applyFill="1" applyBorder="1" applyAlignment="1">
      <alignment horizontal="right" vertical="center"/>
    </xf>
    <xf numFmtId="9" fontId="3" fillId="3" borderId="1" xfId="2" applyFont="1" applyFill="1" applyBorder="1" applyAlignment="1">
      <alignment horizontal="right" vertical="center"/>
    </xf>
    <xf numFmtId="9" fontId="0" fillId="2" borderId="1" xfId="2" applyFont="1" applyFill="1" applyBorder="1"/>
    <xf numFmtId="9" fontId="4" fillId="5" borderId="1" xfId="2" applyFont="1" applyFill="1" applyBorder="1" applyAlignment="1">
      <alignment horizontal="right" vertical="center"/>
    </xf>
    <xf numFmtId="165" fontId="10" fillId="0" borderId="0" xfId="1" applyNumberFormat="1" applyFont="1"/>
    <xf numFmtId="165" fontId="8" fillId="0" borderId="4" xfId="1" applyNumberFormat="1" applyFont="1" applyBorder="1"/>
    <xf numFmtId="165" fontId="10" fillId="10" borderId="0" xfId="0" applyNumberFormat="1" applyFont="1" applyFill="1"/>
    <xf numFmtId="0" fontId="10" fillId="10" borderId="0" xfId="0" applyFont="1" applyFill="1"/>
    <xf numFmtId="165" fontId="10" fillId="10" borderId="0" xfId="1" applyNumberFormat="1" applyFont="1" applyFill="1"/>
    <xf numFmtId="0" fontId="8" fillId="10" borderId="0" xfId="0" applyFont="1" applyFill="1"/>
    <xf numFmtId="165" fontId="8" fillId="10" borderId="0" xfId="1" applyNumberFormat="1" applyFont="1" applyFill="1"/>
    <xf numFmtId="43" fontId="8" fillId="10" borderId="0" xfId="0" applyNumberFormat="1" applyFont="1" applyFill="1"/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3DA2F-5DFB-4217-9582-C4A1A5151713}">
  <sheetPr>
    <pageSetUpPr fitToPage="1"/>
  </sheetPr>
  <dimension ref="A1:W139"/>
  <sheetViews>
    <sheetView tabSelected="1" workbookViewId="0">
      <selection activeCell="G110" sqref="G110"/>
    </sheetView>
  </sheetViews>
  <sheetFormatPr defaultColWidth="15.7109375" defaultRowHeight="12" x14ac:dyDescent="0.2"/>
  <cols>
    <col min="1" max="1" width="4.5703125" style="25" bestFit="1" customWidth="1"/>
    <col min="2" max="2" width="13" style="25" customWidth="1"/>
    <col min="3" max="3" width="11" style="25" bestFit="1" customWidth="1"/>
    <col min="4" max="4" width="12.85546875" style="26" bestFit="1" customWidth="1"/>
    <col min="5" max="5" width="8.42578125" style="25" bestFit="1" customWidth="1"/>
    <col min="6" max="6" width="5.7109375" style="25" customWidth="1"/>
    <col min="7" max="7" width="38" style="25" bestFit="1" customWidth="1"/>
    <col min="8" max="8" width="1.7109375" style="25" customWidth="1"/>
    <col min="9" max="9" width="14.85546875" style="25" customWidth="1"/>
    <col min="10" max="10" width="16.5703125" style="25" customWidth="1"/>
    <col min="11" max="11" width="14.28515625" style="26" bestFit="1" customWidth="1"/>
    <col min="12" max="12" width="13.42578125" style="25" customWidth="1"/>
    <col min="13" max="13" width="2.7109375" style="25" customWidth="1"/>
    <col min="14" max="14" width="14.7109375" style="25" bestFit="1" customWidth="1"/>
    <col min="15" max="15" width="14.28515625" style="26" bestFit="1" customWidth="1"/>
    <col min="16" max="16" width="13.5703125" style="25" bestFit="1" customWidth="1"/>
    <col min="17" max="17" width="15.7109375" style="25"/>
    <col min="18" max="18" width="0" style="25" hidden="1" customWidth="1"/>
    <col min="19" max="19" width="15.7109375" style="25"/>
    <col min="20" max="20" width="0" style="25" hidden="1" customWidth="1"/>
    <col min="21" max="21" width="15.7109375" style="25"/>
    <col min="22" max="22" width="0" style="25" hidden="1" customWidth="1"/>
    <col min="23" max="16384" width="15.7109375" style="25"/>
  </cols>
  <sheetData>
    <row r="1" spans="2:17" s="23" customFormat="1" x14ac:dyDescent="0.2">
      <c r="B1" s="88" t="s">
        <v>279</v>
      </c>
      <c r="C1" s="88"/>
      <c r="D1" s="88"/>
      <c r="E1" s="88"/>
      <c r="F1" s="88"/>
      <c r="G1" s="88"/>
      <c r="H1" s="21"/>
      <c r="I1" s="89" t="s">
        <v>218</v>
      </c>
      <c r="J1" s="89"/>
      <c r="K1" s="89"/>
      <c r="L1" s="89"/>
      <c r="M1" s="89"/>
      <c r="N1" s="89"/>
      <c r="O1" s="89"/>
      <c r="P1" s="89"/>
      <c r="Q1" s="22"/>
    </row>
    <row r="2" spans="2:17" x14ac:dyDescent="0.2">
      <c r="B2" s="24"/>
    </row>
    <row r="3" spans="2:17" x14ac:dyDescent="0.2">
      <c r="B3" s="88" t="s">
        <v>219</v>
      </c>
      <c r="C3" s="88"/>
      <c r="D3" s="88"/>
      <c r="E3" s="88"/>
      <c r="I3" s="88" t="s">
        <v>281</v>
      </c>
      <c r="J3" s="88"/>
      <c r="K3" s="88"/>
      <c r="L3" s="88"/>
      <c r="M3" s="88"/>
      <c r="N3" s="88"/>
      <c r="O3" s="88"/>
      <c r="P3" s="88"/>
    </row>
    <row r="4" spans="2:17" s="23" customFormat="1" ht="24" x14ac:dyDescent="0.2">
      <c r="B4" s="27">
        <v>46235</v>
      </c>
      <c r="C4" s="28" t="s">
        <v>220</v>
      </c>
      <c r="D4" s="29" t="s">
        <v>221</v>
      </c>
      <c r="E4" s="30" t="s">
        <v>222</v>
      </c>
      <c r="F4" s="20"/>
      <c r="G4" s="31" t="s">
        <v>223</v>
      </c>
      <c r="H4" s="20"/>
      <c r="I4" s="32" t="s">
        <v>280</v>
      </c>
      <c r="J4" s="33" t="s">
        <v>224</v>
      </c>
      <c r="K4" s="29" t="s">
        <v>221</v>
      </c>
      <c r="L4" s="30" t="s">
        <v>225</v>
      </c>
      <c r="M4" s="34"/>
      <c r="N4" s="30" t="s">
        <v>226</v>
      </c>
      <c r="O4" s="29" t="s">
        <v>221</v>
      </c>
      <c r="P4" s="30" t="s">
        <v>227</v>
      </c>
    </row>
    <row r="6" spans="2:17" x14ac:dyDescent="0.2">
      <c r="B6" s="35">
        <f>+'Full Data New'!B5</f>
        <v>46614.15</v>
      </c>
      <c r="C6" s="35">
        <f>+'Full Data New'!C5</f>
        <v>68000</v>
      </c>
      <c r="D6" s="35">
        <f t="shared" ref="D6:D13" si="0">B6-C6</f>
        <v>-21385.85</v>
      </c>
      <c r="E6" s="36">
        <f t="shared" ref="E6:E14" si="1">+B6/C6</f>
        <v>0.685502205882353</v>
      </c>
      <c r="G6" s="25" t="s">
        <v>228</v>
      </c>
      <c r="H6" s="25" t="s">
        <v>229</v>
      </c>
      <c r="I6" s="35">
        <f>+'Full Data New'!D4</f>
        <v>523318.44</v>
      </c>
      <c r="J6" s="35">
        <f>+'Full Data New'!E4</f>
        <v>357000</v>
      </c>
      <c r="K6" s="35">
        <f t="shared" ref="K6:K13" si="2">I6-J6</f>
        <v>166318.44</v>
      </c>
      <c r="L6" s="36">
        <f>+I6/J6</f>
        <v>1.4658779831932773</v>
      </c>
      <c r="M6" s="36"/>
      <c r="N6" s="35">
        <v>850000</v>
      </c>
      <c r="O6" s="35">
        <f t="shared" ref="O6:O13" si="3">I6-N6</f>
        <v>-326681.56</v>
      </c>
      <c r="P6" s="36">
        <f t="shared" ref="P6:P14" si="4">+I6/N6</f>
        <v>0.61566875294117651</v>
      </c>
      <c r="Q6" s="63"/>
    </row>
    <row r="7" spans="2:17" x14ac:dyDescent="0.2">
      <c r="B7" s="35">
        <f>+'Full Data New'!B7</f>
        <v>1110.5899999999999</v>
      </c>
      <c r="C7" s="35">
        <f>+'Full Data New'!C7</f>
        <v>1900</v>
      </c>
      <c r="D7" s="35">
        <f t="shared" si="0"/>
        <v>-789.41000000000008</v>
      </c>
      <c r="E7" s="36">
        <f t="shared" si="1"/>
        <v>0.58452105263157894</v>
      </c>
      <c r="G7" s="25" t="s">
        <v>230</v>
      </c>
      <c r="I7" s="35">
        <f>+'Full Data New'!D7</f>
        <v>75166.960000000006</v>
      </c>
      <c r="J7" s="35">
        <f>+'Full Data New'!E7</f>
        <v>75300</v>
      </c>
      <c r="K7" s="35">
        <f t="shared" si="2"/>
        <v>-133.0399999999936</v>
      </c>
      <c r="L7" s="36">
        <f>+I7/J7</f>
        <v>0.99823320053120856</v>
      </c>
      <c r="M7" s="36"/>
      <c r="N7" s="35">
        <v>825000</v>
      </c>
      <c r="O7" s="35">
        <f t="shared" si="3"/>
        <v>-749833.04</v>
      </c>
      <c r="P7" s="36">
        <f t="shared" si="4"/>
        <v>9.1111466666666668E-2</v>
      </c>
    </row>
    <row r="8" spans="2:17" x14ac:dyDescent="0.2">
      <c r="B8" s="35">
        <f>+'Full Data New'!B9</f>
        <v>125317.92</v>
      </c>
      <c r="C8" s="35">
        <f>+'Full Data New'!C9</f>
        <v>105550</v>
      </c>
      <c r="D8" s="35">
        <f t="shared" si="0"/>
        <v>19767.919999999998</v>
      </c>
      <c r="E8" s="36">
        <f t="shared" si="1"/>
        <v>1.1872848886783516</v>
      </c>
      <c r="G8" s="25" t="s">
        <v>231</v>
      </c>
      <c r="I8" s="35">
        <f>+'Full Data New'!D9</f>
        <v>271030.38</v>
      </c>
      <c r="J8" s="35">
        <f>+'Full Data New'!E9</f>
        <v>235200</v>
      </c>
      <c r="K8" s="35">
        <f t="shared" si="2"/>
        <v>35830.380000000005</v>
      </c>
      <c r="L8" s="36">
        <f>+I8/J8</f>
        <v>1.1523400510204083</v>
      </c>
      <c r="M8" s="36"/>
      <c r="N8" s="35">
        <v>475000</v>
      </c>
      <c r="O8" s="35">
        <f t="shared" si="3"/>
        <v>-203969.62</v>
      </c>
      <c r="P8" s="36">
        <f t="shared" si="4"/>
        <v>0.57059027368421056</v>
      </c>
    </row>
    <row r="9" spans="2:17" x14ac:dyDescent="0.2">
      <c r="B9" s="35">
        <f>+'Full Data New'!B10</f>
        <v>15511</v>
      </c>
      <c r="C9" s="35">
        <f>+'Full Data New'!C10</f>
        <v>17030</v>
      </c>
      <c r="D9" s="35">
        <f t="shared" si="0"/>
        <v>-1519</v>
      </c>
      <c r="E9" s="36">
        <f t="shared" si="1"/>
        <v>0.91080446271285964</v>
      </c>
      <c r="G9" s="25" t="s">
        <v>232</v>
      </c>
      <c r="I9" s="35">
        <f>+'Full Data New'!D10</f>
        <v>606738.69999999995</v>
      </c>
      <c r="J9" s="35">
        <f>+'Full Data New'!E10</f>
        <v>581900</v>
      </c>
      <c r="K9" s="35">
        <f t="shared" si="2"/>
        <v>24838.699999999953</v>
      </c>
      <c r="L9" s="36">
        <f t="shared" ref="L9:L14" si="5">+I9/J9</f>
        <v>1.0426855129747379</v>
      </c>
      <c r="M9" s="36"/>
      <c r="N9" s="35">
        <v>629826</v>
      </c>
      <c r="O9" s="35">
        <f t="shared" si="3"/>
        <v>-23087.300000000047</v>
      </c>
      <c r="P9" s="36">
        <f t="shared" si="4"/>
        <v>0.96334336785080321</v>
      </c>
    </row>
    <row r="10" spans="2:17" x14ac:dyDescent="0.2">
      <c r="B10" s="35">
        <f>+'Full Data New'!B14</f>
        <v>785407.41</v>
      </c>
      <c r="C10" s="35">
        <f>+'Full Data New'!C14</f>
        <v>402978</v>
      </c>
      <c r="D10" s="35">
        <f t="shared" si="0"/>
        <v>382429.41000000003</v>
      </c>
      <c r="E10" s="36">
        <f t="shared" si="1"/>
        <v>1.9490081592543513</v>
      </c>
      <c r="G10" s="25" t="s">
        <v>233</v>
      </c>
      <c r="I10" s="35">
        <f>+'Full Data New'!D14</f>
        <v>1811954.22</v>
      </c>
      <c r="J10" s="35">
        <f>+'Full Data New'!E14</f>
        <v>1874364</v>
      </c>
      <c r="K10" s="35">
        <f t="shared" si="2"/>
        <v>-62409.780000000028</v>
      </c>
      <c r="L10" s="36">
        <f t="shared" si="5"/>
        <v>0.96670348982374821</v>
      </c>
      <c r="M10" s="36"/>
      <c r="N10" s="35">
        <v>2087740</v>
      </c>
      <c r="O10" s="35">
        <f t="shared" si="3"/>
        <v>-275785.78000000003</v>
      </c>
      <c r="P10" s="36">
        <f t="shared" si="4"/>
        <v>0.86790223878452299</v>
      </c>
    </row>
    <row r="11" spans="2:17" x14ac:dyDescent="0.2">
      <c r="B11" s="35">
        <f>+'Full Data New'!B18</f>
        <v>61973.7</v>
      </c>
      <c r="C11" s="35">
        <f>+'Full Data New'!C18</f>
        <v>19000</v>
      </c>
      <c r="D11" s="35">
        <f t="shared" si="0"/>
        <v>42973.7</v>
      </c>
      <c r="E11" s="36">
        <f t="shared" si="1"/>
        <v>3.2617736842105263</v>
      </c>
      <c r="G11" s="25" t="s">
        <v>234</v>
      </c>
      <c r="I11" s="35">
        <f>+'Full Data New'!D18</f>
        <v>310704.03000000003</v>
      </c>
      <c r="J11" s="35">
        <f>+'Full Data New'!E18</f>
        <v>160225</v>
      </c>
      <c r="K11" s="35">
        <f t="shared" si="2"/>
        <v>150479.03000000003</v>
      </c>
      <c r="L11" s="36">
        <f t="shared" si="5"/>
        <v>1.9391732251521301</v>
      </c>
      <c r="M11" s="36"/>
      <c r="N11" s="35">
        <v>500000</v>
      </c>
      <c r="O11" s="35">
        <f t="shared" si="3"/>
        <v>-189295.96999999997</v>
      </c>
      <c r="P11" s="36">
        <f t="shared" si="4"/>
        <v>0.62140806000000004</v>
      </c>
    </row>
    <row r="12" spans="2:17" x14ac:dyDescent="0.2">
      <c r="B12" s="35">
        <f>+'Full Data New'!B20</f>
        <v>141364.29999999999</v>
      </c>
      <c r="C12" s="35">
        <f>+'Full Data New'!C20</f>
        <v>89550</v>
      </c>
      <c r="D12" s="35">
        <f t="shared" si="0"/>
        <v>51814.299999999988</v>
      </c>
      <c r="E12" s="36">
        <f t="shared" si="1"/>
        <v>1.5786074818537128</v>
      </c>
      <c r="G12" s="25" t="s">
        <v>235</v>
      </c>
      <c r="I12" s="35">
        <f>+'Full Data New'!D20</f>
        <v>466109.58999999997</v>
      </c>
      <c r="J12" s="35">
        <f>+'Full Data New'!E20</f>
        <v>295725</v>
      </c>
      <c r="K12" s="35">
        <f t="shared" si="2"/>
        <v>170384.58999999997</v>
      </c>
      <c r="L12" s="36">
        <f t="shared" si="5"/>
        <v>1.576158897624482</v>
      </c>
      <c r="M12" s="36"/>
      <c r="N12" s="35">
        <v>514500</v>
      </c>
      <c r="O12" s="35">
        <f t="shared" si="3"/>
        <v>-48390.410000000033</v>
      </c>
      <c r="P12" s="36">
        <f t="shared" si="4"/>
        <v>0.9059467249757045</v>
      </c>
    </row>
    <row r="13" spans="2:17" x14ac:dyDescent="0.2">
      <c r="B13" s="35">
        <f>+'Full Data New'!$B$26-'Full Data New'!$B$34-'Full Data New'!$B$43</f>
        <v>144137.04999999999</v>
      </c>
      <c r="C13" s="35">
        <f>+'Full Data New'!$B$26-'Full Data New'!$B$34-'Full Data New'!$B$36-'Full Data New'!$B$37-'Full Data New'!$B$42-'Full Data New'!$B$43</f>
        <v>114254.99999999999</v>
      </c>
      <c r="D13" s="35">
        <f t="shared" si="0"/>
        <v>29882.050000000003</v>
      </c>
      <c r="E13" s="36">
        <f t="shared" si="1"/>
        <v>1.2615382258982102</v>
      </c>
      <c r="G13" s="25" t="s">
        <v>236</v>
      </c>
      <c r="I13" s="35">
        <f>+'Full Data New'!$D$26-'Full Data New'!$D$34-'Full Data New'!$D$43</f>
        <v>503403.57999999984</v>
      </c>
      <c r="J13" s="35">
        <f>+'Full Data New'!$D$26-'Full Data New'!$D$34-'Full Data New'!$D$36-'Full Data New'!$D$37-'Full Data New'!$D$42-'Full Data New'!$D$43</f>
        <v>398565.14999999991</v>
      </c>
      <c r="K13" s="35">
        <f t="shared" si="2"/>
        <v>104838.42999999993</v>
      </c>
      <c r="L13" s="36">
        <f t="shared" si="5"/>
        <v>1.2630396310364815</v>
      </c>
      <c r="M13" s="36"/>
      <c r="N13" s="35">
        <f>6656566-5882066</f>
        <v>774500</v>
      </c>
      <c r="O13" s="35">
        <f t="shared" si="3"/>
        <v>-271096.42000000016</v>
      </c>
      <c r="P13" s="36">
        <f t="shared" si="4"/>
        <v>0.64997234344738519</v>
      </c>
    </row>
    <row r="14" spans="2:17" x14ac:dyDescent="0.2">
      <c r="B14" s="37">
        <f>SUM(B6:B13)</f>
        <v>1321436.1200000001</v>
      </c>
      <c r="C14" s="37">
        <f>SUM(C6:C13)</f>
        <v>818263</v>
      </c>
      <c r="D14" s="37">
        <f>SUM(D6:D13)</f>
        <v>503173.12</v>
      </c>
      <c r="E14" s="36">
        <f t="shared" si="1"/>
        <v>1.6149283543310649</v>
      </c>
      <c r="F14" s="23"/>
      <c r="G14" s="38" t="s">
        <v>44</v>
      </c>
      <c r="H14" s="23"/>
      <c r="I14" s="37">
        <f>SUM(I6:I13)</f>
        <v>4568425.9000000004</v>
      </c>
      <c r="J14" s="37">
        <f>SUM(J6:J13)</f>
        <v>3978279.15</v>
      </c>
      <c r="K14" s="37">
        <f>SUM(K6:K13)</f>
        <v>590146.74999999988</v>
      </c>
      <c r="L14" s="36">
        <f t="shared" si="5"/>
        <v>1.1483422172624564</v>
      </c>
      <c r="M14" s="36"/>
      <c r="N14" s="37">
        <f>SUM(N6:N13)</f>
        <v>6656566</v>
      </c>
      <c r="O14" s="37">
        <f>SUM(O6:O13)</f>
        <v>-2088140.1000000003</v>
      </c>
      <c r="P14" s="36">
        <f t="shared" si="4"/>
        <v>0.68630370374153882</v>
      </c>
      <c r="Q14" s="39"/>
    </row>
    <row r="15" spans="2:17" x14ac:dyDescent="0.2">
      <c r="E15" s="36"/>
      <c r="L15" s="40"/>
      <c r="M15" s="40"/>
      <c r="P15" s="40"/>
      <c r="Q15" s="39"/>
    </row>
    <row r="16" spans="2:17" x14ac:dyDescent="0.2">
      <c r="B16" s="35">
        <f>+B10*F16</f>
        <v>102102.9633</v>
      </c>
      <c r="C16" s="35">
        <f>+C10*F16</f>
        <v>52387.14</v>
      </c>
      <c r="D16" s="35">
        <f>B16-C16</f>
        <v>49715.823300000004</v>
      </c>
      <c r="E16" s="36">
        <f>+B16/C16</f>
        <v>1.9490081592543513</v>
      </c>
      <c r="F16" s="41">
        <v>0.13</v>
      </c>
      <c r="G16" s="25" t="s">
        <v>290</v>
      </c>
      <c r="I16" s="35">
        <f>MIN(+I10*F16,182222)</f>
        <v>182222</v>
      </c>
      <c r="J16" s="35">
        <f>+J10*F16</f>
        <v>243667.32</v>
      </c>
      <c r="K16" s="35">
        <f>+I16-J16</f>
        <v>-61445.320000000007</v>
      </c>
      <c r="L16" s="36">
        <v>0</v>
      </c>
      <c r="N16" s="35">
        <v>124000</v>
      </c>
      <c r="O16" s="35">
        <f>I16-N16</f>
        <v>58222</v>
      </c>
      <c r="P16" s="36">
        <f>+I16/N16</f>
        <v>1.469532258064516</v>
      </c>
      <c r="Q16" s="39"/>
    </row>
    <row r="17" spans="1:17" x14ac:dyDescent="0.2">
      <c r="B17" s="35">
        <f>+B11*F17</f>
        <v>12394.74</v>
      </c>
      <c r="C17" s="35">
        <f>+C11*F17</f>
        <v>3800</v>
      </c>
      <c r="D17" s="35">
        <f>B17-C17</f>
        <v>8594.74</v>
      </c>
      <c r="E17" s="36">
        <f>+B17/C17</f>
        <v>3.2617736842105263</v>
      </c>
      <c r="F17" s="41">
        <v>0.2</v>
      </c>
      <c r="G17" s="25" t="s">
        <v>237</v>
      </c>
      <c r="I17" s="35">
        <f>+I11*F17</f>
        <v>62140.806000000011</v>
      </c>
      <c r="J17" s="35">
        <f>+J11*F17</f>
        <v>32045</v>
      </c>
      <c r="K17" s="35">
        <f>+I17-J17</f>
        <v>30095.806000000011</v>
      </c>
      <c r="L17" s="36">
        <f>+I17/J17</f>
        <v>1.9391732251521301</v>
      </c>
      <c r="N17" s="35">
        <f>+F17*N11</f>
        <v>100000</v>
      </c>
      <c r="O17" s="35">
        <f>I17-N17</f>
        <v>-37859.193999999989</v>
      </c>
      <c r="P17" s="36">
        <f>+I17/N17</f>
        <v>0.62140806000000015</v>
      </c>
      <c r="Q17" s="39"/>
    </row>
    <row r="18" spans="1:17" x14ac:dyDescent="0.2">
      <c r="B18" s="35">
        <f>+B8*F18</f>
        <v>62658.96</v>
      </c>
      <c r="C18" s="35">
        <f>+C8*F18</f>
        <v>52775</v>
      </c>
      <c r="D18" s="35">
        <f>B18-C18</f>
        <v>9883.9599999999991</v>
      </c>
      <c r="E18" s="36">
        <f>+B18/C18</f>
        <v>1.1872848886783516</v>
      </c>
      <c r="F18" s="41">
        <v>0.5</v>
      </c>
      <c r="G18" s="25" t="s">
        <v>238</v>
      </c>
      <c r="I18" s="35">
        <f>+I8*F18</f>
        <v>135515.19</v>
      </c>
      <c r="J18" s="35">
        <f>+J8*F18</f>
        <v>117600</v>
      </c>
      <c r="K18" s="35">
        <f>+I18-J18</f>
        <v>17915.190000000002</v>
      </c>
      <c r="L18" s="36">
        <v>0</v>
      </c>
      <c r="N18" s="35">
        <f>+F18*N8</f>
        <v>237500</v>
      </c>
      <c r="O18" s="35">
        <f>I18-N18</f>
        <v>-101984.81</v>
      </c>
      <c r="P18" s="36">
        <f>+I18/N18</f>
        <v>0.57059027368421056</v>
      </c>
      <c r="Q18" s="39"/>
    </row>
    <row r="19" spans="1:17" s="42" customFormat="1" ht="14.25" x14ac:dyDescent="0.2">
      <c r="A19" s="25"/>
      <c r="B19" s="37">
        <f>SUM(B16:B18)</f>
        <v>177156.66330000001</v>
      </c>
      <c r="C19" s="37">
        <f>SUM(C16:C18)</f>
        <v>108962.14</v>
      </c>
      <c r="D19" s="37">
        <f>SUM(D11:D18)</f>
        <v>696037.69329999993</v>
      </c>
      <c r="E19" s="36">
        <f>+B19/C19</f>
        <v>1.62585521264542</v>
      </c>
      <c r="F19" s="25"/>
      <c r="G19" s="38" t="s">
        <v>239</v>
      </c>
      <c r="H19" s="25"/>
      <c r="I19" s="37">
        <f>SUM(I16:I18)</f>
        <v>379877.99600000004</v>
      </c>
      <c r="J19" s="37">
        <f>SUM(J16:J18)</f>
        <v>393312.32</v>
      </c>
      <c r="K19" s="37">
        <f>SUM(K16:K18)</f>
        <v>-13434.323999999993</v>
      </c>
      <c r="L19" s="36">
        <f>+I19/J19</f>
        <v>0.96584311419484659</v>
      </c>
      <c r="N19" s="37">
        <f>SUM(N16:N18)</f>
        <v>461500</v>
      </c>
      <c r="O19" s="37">
        <f>SUM(O16:O18)</f>
        <v>-81622.003999999986</v>
      </c>
      <c r="P19" s="36">
        <f>+I19/N19</f>
        <v>0.8231375861321778</v>
      </c>
    </row>
    <row r="20" spans="1:17" s="42" customFormat="1" ht="14.25" x14ac:dyDescent="0.2">
      <c r="A20" s="25"/>
      <c r="B20" s="26"/>
      <c r="C20" s="26"/>
      <c r="D20" s="26"/>
      <c r="E20" s="36"/>
      <c r="F20" s="25"/>
      <c r="G20" s="23"/>
      <c r="H20" s="25"/>
      <c r="I20" s="26"/>
      <c r="J20" s="26"/>
      <c r="K20" s="26"/>
      <c r="L20" s="40"/>
      <c r="N20" s="26"/>
    </row>
    <row r="21" spans="1:17" s="42" customFormat="1" ht="14.25" x14ac:dyDescent="0.2">
      <c r="A21" s="25"/>
      <c r="B21" s="37">
        <f>+B14-B19</f>
        <v>1144279.4567</v>
      </c>
      <c r="C21" s="37">
        <f>+C14-C19</f>
        <v>709300.86</v>
      </c>
      <c r="D21" s="37">
        <f>+D14-D19</f>
        <v>-192864.57329999993</v>
      </c>
      <c r="E21" s="36">
        <f>+B21/C21</f>
        <v>1.6132497804951202</v>
      </c>
      <c r="F21" s="25"/>
      <c r="G21" s="38" t="s">
        <v>240</v>
      </c>
      <c r="H21" s="25"/>
      <c r="I21" s="37">
        <f>+I14-I19</f>
        <v>4188547.9040000001</v>
      </c>
      <c r="J21" s="37">
        <f>+J14-J19</f>
        <v>3584966.83</v>
      </c>
      <c r="K21" s="37">
        <f>+K14-K19</f>
        <v>603581.07399999991</v>
      </c>
      <c r="L21" s="36">
        <f>+I21/J21</f>
        <v>1.1683644794002181</v>
      </c>
      <c r="N21" s="37">
        <f>+N14-N19</f>
        <v>6195066</v>
      </c>
      <c r="O21" s="37">
        <f>+O14-O19</f>
        <v>-2006518.0960000004</v>
      </c>
      <c r="P21" s="36">
        <f>+I21/N21</f>
        <v>0.67611029551581858</v>
      </c>
    </row>
    <row r="22" spans="1:17" s="42" customFormat="1" ht="14.25" x14ac:dyDescent="0.2">
      <c r="A22" s="25"/>
      <c r="B22" s="26"/>
      <c r="C22" s="26"/>
      <c r="D22" s="26"/>
      <c r="E22" s="36"/>
      <c r="F22" s="25"/>
      <c r="G22" s="25"/>
      <c r="H22" s="25"/>
      <c r="I22" s="26"/>
      <c r="J22" s="26"/>
      <c r="K22" s="26"/>
      <c r="L22" s="40"/>
    </row>
    <row r="23" spans="1:17" s="23" customFormat="1" ht="24" x14ac:dyDescent="0.2">
      <c r="B23" s="27">
        <f>+B4</f>
        <v>46235</v>
      </c>
      <c r="C23" s="28" t="s">
        <v>220</v>
      </c>
      <c r="D23" s="43" t="s">
        <v>221</v>
      </c>
      <c r="E23" s="44"/>
      <c r="G23" s="31" t="s">
        <v>241</v>
      </c>
      <c r="I23" s="32" t="str">
        <f>I4</f>
        <v>August 2026</v>
      </c>
      <c r="J23" s="30" t="str">
        <f>J4</f>
        <v>YTD Budget</v>
      </c>
      <c r="K23" s="29" t="s">
        <v>221</v>
      </c>
      <c r="L23" s="30" t="s">
        <v>222</v>
      </c>
      <c r="M23" s="34"/>
      <c r="N23" s="30" t="s">
        <v>226</v>
      </c>
      <c r="O23" s="29" t="s">
        <v>221</v>
      </c>
      <c r="P23" s="30" t="s">
        <v>227</v>
      </c>
      <c r="Q23" s="39"/>
    </row>
    <row r="24" spans="1:17" x14ac:dyDescent="0.2">
      <c r="B24" s="35">
        <f>SUM('Full Data New'!B52:B80)-'Full Data New'!B79-'Full Data New'!B61-'Full Data New'!B53</f>
        <v>67317.59</v>
      </c>
      <c r="C24" s="35">
        <f>SUM('Full Data New'!C52:C80)-'Full Data New'!C79-'Full Data New'!C61-'Full Data New'!C53</f>
        <v>88841</v>
      </c>
      <c r="D24" s="35">
        <f>+B24-C24</f>
        <v>-21523.410000000003</v>
      </c>
      <c r="E24" s="36">
        <f>+B24/C24</f>
        <v>0.75773111513828073</v>
      </c>
      <c r="G24" s="25" t="s">
        <v>242</v>
      </c>
      <c r="I24" s="35">
        <f>SUM('Full Data New'!D52:D80)-'Full Data New'!D79-'Full Data New'!D53</f>
        <v>443000.9599999999</v>
      </c>
      <c r="J24" s="35">
        <f>SUM('Full Data New'!E52:E80)-'Full Data New'!E79-'Full Data New'!E61-'Full Data New'!E53</f>
        <v>328153</v>
      </c>
      <c r="K24" s="35">
        <f>I24-J24</f>
        <v>114847.9599999999</v>
      </c>
      <c r="L24" s="36">
        <f>+I24/J24</f>
        <v>1.3499829652631543</v>
      </c>
      <c r="M24" s="36"/>
      <c r="N24" s="35">
        <v>421000</v>
      </c>
      <c r="O24" s="35">
        <f>I24-N24</f>
        <v>22000.959999999905</v>
      </c>
      <c r="P24" s="36">
        <f>+I24/N24</f>
        <v>1.0522588123515437</v>
      </c>
      <c r="Q24" s="39"/>
    </row>
    <row r="25" spans="1:17" x14ac:dyDescent="0.2">
      <c r="B25" s="35">
        <f>+SUM('Full Data New'!B82:B90)-SUM('Full Data New'!B87:B90)</f>
        <v>3209.6800000000007</v>
      </c>
      <c r="C25" s="35">
        <f>+SUM('Full Data New'!C82:C90)-SUM('Full Data New'!C87:C90)</f>
        <v>8125</v>
      </c>
      <c r="D25" s="35">
        <f>+B25-C25</f>
        <v>-4915.32</v>
      </c>
      <c r="E25" s="36">
        <f>+B25/C25</f>
        <v>0.39503753846153855</v>
      </c>
      <c r="G25" s="25" t="s">
        <v>243</v>
      </c>
      <c r="I25" s="35">
        <f>+SUM('Full Data New'!D82:D90)-SUM('Full Data New'!D87:D90)</f>
        <v>57617.170000000042</v>
      </c>
      <c r="J25" s="35">
        <f>+SUM('Full Data New'!E82:E90)-SUM('Full Data New'!E87:E90)</f>
        <v>40624</v>
      </c>
      <c r="K25" s="35">
        <f>I25-J25</f>
        <v>16993.170000000042</v>
      </c>
      <c r="L25" s="36">
        <f>+I25/J25</f>
        <v>1.4183037120913755</v>
      </c>
      <c r="M25" s="36"/>
      <c r="N25" s="35">
        <v>97500</v>
      </c>
      <c r="O25" s="35">
        <f>I25-N25</f>
        <v>-39882.829999999958</v>
      </c>
      <c r="P25" s="36">
        <f>+I25/N25</f>
        <v>0.59094533333333377</v>
      </c>
      <c r="Q25" s="39"/>
    </row>
    <row r="26" spans="1:17" s="23" customFormat="1" x14ac:dyDescent="0.2">
      <c r="B26" s="45">
        <f>SUM(B24:B25)</f>
        <v>70527.27</v>
      </c>
      <c r="C26" s="45">
        <f>SUM(C24:C25)</f>
        <v>96966</v>
      </c>
      <c r="D26" s="45">
        <f>+B26-C26</f>
        <v>-26438.729999999996</v>
      </c>
      <c r="E26" s="36">
        <f>+B26/C26</f>
        <v>0.72734020172019065</v>
      </c>
      <c r="G26" s="23" t="s">
        <v>244</v>
      </c>
      <c r="I26" s="45">
        <f>SUM(I24:I25)</f>
        <v>500618.12999999995</v>
      </c>
      <c r="J26" s="45">
        <f>SUM(J24:J25)</f>
        <v>368777</v>
      </c>
      <c r="K26" s="45">
        <f>SUM(K24:K25)</f>
        <v>131841.12999999995</v>
      </c>
      <c r="L26" s="36">
        <f>+I26/J26</f>
        <v>1.3575090908597878</v>
      </c>
      <c r="M26" s="36"/>
      <c r="N26" s="45">
        <f>SUM(N24:N25)</f>
        <v>518500</v>
      </c>
      <c r="O26" s="45">
        <f>SUM(O24:O25)</f>
        <v>-17881.870000000054</v>
      </c>
      <c r="P26" s="36">
        <f>+I26/N26</f>
        <v>0.96551230472516869</v>
      </c>
      <c r="Q26" s="39"/>
    </row>
    <row r="27" spans="1:17" x14ac:dyDescent="0.2">
      <c r="B27" s="26"/>
      <c r="C27" s="26"/>
      <c r="E27" s="36"/>
      <c r="I27" s="26"/>
      <c r="J27" s="26"/>
      <c r="L27" s="40"/>
      <c r="M27" s="40"/>
      <c r="N27" s="26"/>
      <c r="P27" s="40"/>
      <c r="Q27" s="39"/>
    </row>
    <row r="28" spans="1:17" x14ac:dyDescent="0.2">
      <c r="B28" s="35">
        <f>SUM('Full Data New'!B93:B99)</f>
        <v>42935.58</v>
      </c>
      <c r="C28" s="35">
        <f>SUM('Full Data New'!C93:C99)</f>
        <v>42650</v>
      </c>
      <c r="D28" s="35">
        <f>B28-C28</f>
        <v>285.58000000000175</v>
      </c>
      <c r="E28" s="36">
        <f>+B28/C28</f>
        <v>1.0066958968347011</v>
      </c>
      <c r="G28" s="25" t="s">
        <v>245</v>
      </c>
      <c r="I28" s="35">
        <f>SUM('Full Data New'!D93:D99)</f>
        <v>238542.59</v>
      </c>
      <c r="J28" s="35">
        <f>SUM('Full Data New'!E93:E99)</f>
        <v>230767</v>
      </c>
      <c r="K28" s="35">
        <f>I28-J28</f>
        <v>7775.5899999999965</v>
      </c>
      <c r="L28" s="36">
        <f>+I28/J28</f>
        <v>1.0336945490473075</v>
      </c>
      <c r="M28" s="36"/>
      <c r="N28" s="35">
        <v>546832</v>
      </c>
      <c r="O28" s="35">
        <f>I28-N28</f>
        <v>-308289.41000000003</v>
      </c>
      <c r="P28" s="36">
        <f>+I28/N28</f>
        <v>0.43622646443514645</v>
      </c>
      <c r="Q28" s="39"/>
    </row>
    <row r="29" spans="1:17" x14ac:dyDescent="0.2">
      <c r="B29" s="35">
        <f>SUM('Full Data New'!B101:B103)</f>
        <v>1663.4299999999998</v>
      </c>
      <c r="C29" s="35">
        <f>SUM('Full Data New'!C101:C103)</f>
        <v>1091</v>
      </c>
      <c r="D29" s="35">
        <f>B29-C29</f>
        <v>572.42999999999984</v>
      </c>
      <c r="E29" s="36">
        <f>+B29/C29</f>
        <v>1.5246837763519705</v>
      </c>
      <c r="G29" s="25" t="s">
        <v>246</v>
      </c>
      <c r="I29" s="35">
        <f>+SUM('Full Data New'!D101:D103)</f>
        <v>5528.04</v>
      </c>
      <c r="J29" s="35">
        <f>+SUM('Full Data New'!E101:E103)</f>
        <v>3821</v>
      </c>
      <c r="K29" s="35">
        <f>I29-J29</f>
        <v>1707.04</v>
      </c>
      <c r="L29" s="36">
        <f>+I29/J29</f>
        <v>1.4467521591206491</v>
      </c>
      <c r="M29" s="36"/>
      <c r="N29" s="35">
        <v>5465</v>
      </c>
      <c r="O29" s="35">
        <f>I29-N29</f>
        <v>63.039999999999964</v>
      </c>
      <c r="P29" s="36">
        <f>+I29/N29</f>
        <v>1.0115352241537054</v>
      </c>
      <c r="Q29" s="39"/>
    </row>
    <row r="30" spans="1:17" x14ac:dyDescent="0.2">
      <c r="B30" s="35">
        <f>+SUM('Full Data New'!B105:B107)</f>
        <v>351.74</v>
      </c>
      <c r="C30" s="35">
        <f>+SUM('Full Data New'!C105:C107)</f>
        <v>6877</v>
      </c>
      <c r="D30" s="35">
        <f>B30-C30</f>
        <v>-6525.26</v>
      </c>
      <c r="E30" s="36">
        <f>+B30/C30</f>
        <v>5.1147302602879162E-2</v>
      </c>
      <c r="G30" s="25" t="s">
        <v>247</v>
      </c>
      <c r="I30" s="35">
        <f>+SUM('Full Data New'!D105:D107)</f>
        <v>22304.28</v>
      </c>
      <c r="J30" s="35">
        <f>+SUM('Full Data New'!E105:E107)</f>
        <v>34373</v>
      </c>
      <c r="K30" s="35">
        <f>I30-J30</f>
        <v>-12068.720000000001</v>
      </c>
      <c r="L30" s="36">
        <f>+I30/J30</f>
        <v>0.64888953539115002</v>
      </c>
      <c r="M30" s="36"/>
      <c r="N30" s="35">
        <v>430500</v>
      </c>
      <c r="O30" s="35">
        <f>I30-N30</f>
        <v>-408195.72</v>
      </c>
      <c r="P30" s="36">
        <f>+I30/N30</f>
        <v>5.181017421602787E-2</v>
      </c>
      <c r="Q30" s="39"/>
    </row>
    <row r="31" spans="1:17" s="23" customFormat="1" x14ac:dyDescent="0.2">
      <c r="B31" s="45">
        <f>SUM(B28:B30)</f>
        <v>44950.75</v>
      </c>
      <c r="C31" s="45">
        <f>SUM(C28:C30)</f>
        <v>50618</v>
      </c>
      <c r="D31" s="45">
        <f>+B31-C31</f>
        <v>-5667.25</v>
      </c>
      <c r="E31" s="36">
        <f>+B31/C31</f>
        <v>0.88803883993836186</v>
      </c>
      <c r="G31" s="23" t="s">
        <v>248</v>
      </c>
      <c r="I31" s="45">
        <f>SUM(I28:I30)</f>
        <v>266374.91000000003</v>
      </c>
      <c r="J31" s="45">
        <f>SUM(J28:J30)</f>
        <v>268961</v>
      </c>
      <c r="K31" s="45">
        <f>SUM(K28:K30)</f>
        <v>-2586.0900000000038</v>
      </c>
      <c r="L31" s="36">
        <f>+I31/J31</f>
        <v>0.99038488851543549</v>
      </c>
      <c r="M31" s="36"/>
      <c r="N31" s="45">
        <f>SUM(N28:N30)</f>
        <v>982797</v>
      </c>
      <c r="O31" s="45">
        <f>SUM(O28:O30)</f>
        <v>-716422.09000000008</v>
      </c>
      <c r="P31" s="36">
        <f>+I31/N31</f>
        <v>0.27103756930474965</v>
      </c>
      <c r="Q31" s="39"/>
    </row>
    <row r="32" spans="1:17" x14ac:dyDescent="0.2">
      <c r="B32" s="26"/>
      <c r="C32" s="26"/>
      <c r="E32" s="36"/>
      <c r="I32" s="26"/>
      <c r="J32" s="26"/>
      <c r="L32" s="40"/>
      <c r="M32" s="40"/>
      <c r="N32" s="26"/>
      <c r="P32" s="40"/>
      <c r="Q32" s="39"/>
    </row>
    <row r="33" spans="1:23" x14ac:dyDescent="0.2">
      <c r="A33" s="25" t="s">
        <v>229</v>
      </c>
      <c r="B33" s="35">
        <f>SUM('Full Data New'!B111:B120)</f>
        <v>169131.88</v>
      </c>
      <c r="C33" s="35">
        <f>SUM('Full Data New'!C111:C120)</f>
        <v>182561</v>
      </c>
      <c r="D33" s="35">
        <f>B33-C33</f>
        <v>-13429.119999999995</v>
      </c>
      <c r="E33" s="36">
        <f>+B33/C33</f>
        <v>0.92644036787703843</v>
      </c>
      <c r="G33" s="25" t="s">
        <v>249</v>
      </c>
      <c r="I33" s="35">
        <f>SUM('Full Data New'!D111:D120)</f>
        <v>945958.18999999983</v>
      </c>
      <c r="J33" s="35">
        <f>SUM('Full Data New'!E111:E120)</f>
        <v>964561</v>
      </c>
      <c r="K33" s="35">
        <f>I33-J33</f>
        <v>-18602.810000000172</v>
      </c>
      <c r="L33" s="36">
        <f>+I33/J33</f>
        <v>0.98071370291770021</v>
      </c>
      <c r="M33" s="36"/>
      <c r="N33" s="35">
        <v>2198569</v>
      </c>
      <c r="O33" s="35">
        <f>I33-N33</f>
        <v>-1252610.81</v>
      </c>
      <c r="P33" s="36">
        <f>+I33/N33</f>
        <v>0.43026086058704538</v>
      </c>
      <c r="Q33" s="39"/>
    </row>
    <row r="34" spans="1:23" x14ac:dyDescent="0.2">
      <c r="B34" s="35">
        <f>SUM('Full Data New'!B122:B128)</f>
        <v>35064.57</v>
      </c>
      <c r="C34" s="35">
        <f>SUM('Full Data New'!C122:C128)</f>
        <v>43810</v>
      </c>
      <c r="D34" s="35">
        <f>B34-C34</f>
        <v>-8745.43</v>
      </c>
      <c r="E34" s="36">
        <f>+B34/C34</f>
        <v>0.80037822414973747</v>
      </c>
      <c r="G34" s="25" t="s">
        <v>250</v>
      </c>
      <c r="I34" s="35">
        <f>SUM('Full Data New'!D122:D128)</f>
        <v>210759.8</v>
      </c>
      <c r="J34" s="35">
        <f>SUM('Full Data New'!E122:E128)</f>
        <v>234184</v>
      </c>
      <c r="K34" s="35">
        <f>I34-J34</f>
        <v>-23424.200000000012</v>
      </c>
      <c r="L34" s="36">
        <f>+I34/J34</f>
        <v>0.89997523315000161</v>
      </c>
      <c r="M34" s="36"/>
      <c r="N34" s="35">
        <v>555977</v>
      </c>
      <c r="O34" s="35">
        <f>I34-N34</f>
        <v>-345217.2</v>
      </c>
      <c r="P34" s="36">
        <f>+I34/N34</f>
        <v>0.37908006985900494</v>
      </c>
      <c r="Q34" s="39"/>
    </row>
    <row r="35" spans="1:23" x14ac:dyDescent="0.2">
      <c r="B35" s="35">
        <f>SUM('Full Data New'!B130:B135)</f>
        <v>47328.39</v>
      </c>
      <c r="C35" s="35">
        <f>SUM('Full Data New'!C130:C135)</f>
        <v>26432</v>
      </c>
      <c r="D35" s="35">
        <f>B35-C35</f>
        <v>20896.39</v>
      </c>
      <c r="E35" s="36">
        <f>+B35/C35</f>
        <v>1.7905716555690072</v>
      </c>
      <c r="G35" s="25" t="s">
        <v>251</v>
      </c>
      <c r="I35" s="35">
        <f>SUM('Full Data New'!D130:D135)</f>
        <v>216352.59999999998</v>
      </c>
      <c r="J35" s="35">
        <f>SUM('Full Data New'!E130:E135)</f>
        <v>156772</v>
      </c>
      <c r="K35" s="35">
        <f>I35-J35</f>
        <v>59580.599999999977</v>
      </c>
      <c r="L35" s="36">
        <f>+I35/J35</f>
        <v>1.3800461817161227</v>
      </c>
      <c r="M35" s="36"/>
      <c r="N35" s="35">
        <v>209665</v>
      </c>
      <c r="O35" s="35">
        <f>I35-N35</f>
        <v>6687.5999999999767</v>
      </c>
      <c r="P35" s="36">
        <f>+I35/N35</f>
        <v>1.0318965969522809</v>
      </c>
      <c r="Q35" s="39"/>
    </row>
    <row r="36" spans="1:23" x14ac:dyDescent="0.2">
      <c r="B36" s="35">
        <f>SUM('Full Data New'!B137:B148)</f>
        <v>31494.250000000004</v>
      </c>
      <c r="C36" s="35">
        <f>SUM('Full Data New'!C137:C148)</f>
        <v>29418</v>
      </c>
      <c r="D36" s="35">
        <f>B36-C36</f>
        <v>2076.2500000000036</v>
      </c>
      <c r="E36" s="36">
        <f>+B36/C36</f>
        <v>1.070577537562037</v>
      </c>
      <c r="G36" s="25" t="s">
        <v>252</v>
      </c>
      <c r="I36" s="35">
        <f>SUM('Full Data New'!D137:D148)</f>
        <v>145518.89999999997</v>
      </c>
      <c r="J36" s="35">
        <f>SUM('Full Data New'!E137:E148)</f>
        <v>154086</v>
      </c>
      <c r="K36" s="35">
        <f>I36-J36</f>
        <v>-8567.1000000000349</v>
      </c>
      <c r="L36" s="36">
        <f>+I36/J36</f>
        <v>0.94440052957439324</v>
      </c>
      <c r="M36" s="36"/>
      <c r="N36" s="35">
        <v>389500</v>
      </c>
      <c r="O36" s="35">
        <f>I36-N36</f>
        <v>-243981.10000000003</v>
      </c>
      <c r="P36" s="36">
        <f>+I36/N36</f>
        <v>0.37360436456996138</v>
      </c>
      <c r="Q36" s="39"/>
    </row>
    <row r="37" spans="1:23" s="23" customFormat="1" x14ac:dyDescent="0.2">
      <c r="B37" s="45">
        <f>SUM(B33:B36)</f>
        <v>283019.09000000003</v>
      </c>
      <c r="C37" s="45">
        <f>SUM(C33:C36)</f>
        <v>282221</v>
      </c>
      <c r="D37" s="45">
        <f>+B37-C37</f>
        <v>798.09000000002561</v>
      </c>
      <c r="E37" s="36">
        <f>+B37/C37</f>
        <v>1.0028278901995247</v>
      </c>
      <c r="G37" s="23" t="s">
        <v>253</v>
      </c>
      <c r="I37" s="45">
        <f>SUM(I33:I36)</f>
        <v>1518589.4899999998</v>
      </c>
      <c r="J37" s="45">
        <f>SUM(J33:J36)</f>
        <v>1509603</v>
      </c>
      <c r="K37" s="45">
        <f>SUM(K33:K36)</f>
        <v>8986.4899999997579</v>
      </c>
      <c r="L37" s="36">
        <f>+I37/J37</f>
        <v>1.0059528829765174</v>
      </c>
      <c r="M37" s="36"/>
      <c r="N37" s="45">
        <f>SUM(N33:N36)</f>
        <v>3353711</v>
      </c>
      <c r="O37" s="45">
        <f>SUM(O33:O36)</f>
        <v>-1835121.5100000002</v>
      </c>
      <c r="P37" s="36">
        <f>+I37/N37</f>
        <v>0.45280869162548587</v>
      </c>
      <c r="Q37" s="39"/>
    </row>
    <row r="38" spans="1:23" x14ac:dyDescent="0.2">
      <c r="B38" s="26"/>
      <c r="C38" s="26"/>
      <c r="E38" s="36"/>
      <c r="I38" s="26"/>
      <c r="J38" s="26"/>
      <c r="L38" s="40"/>
      <c r="M38" s="40"/>
      <c r="N38" s="26"/>
      <c r="P38" s="40"/>
      <c r="Q38" s="39"/>
    </row>
    <row r="39" spans="1:23" x14ac:dyDescent="0.2">
      <c r="B39" s="35">
        <f>SUM('Full Data New'!B152:B158)</f>
        <v>14551.28</v>
      </c>
      <c r="C39" s="35">
        <f>SUM('Full Data New'!C152:C158)</f>
        <v>16693</v>
      </c>
      <c r="D39" s="35">
        <f>B39-C39</f>
        <v>-2141.7199999999993</v>
      </c>
      <c r="E39" s="36">
        <f>+B39/C39</f>
        <v>0.87169951476666874</v>
      </c>
      <c r="G39" s="25" t="s">
        <v>254</v>
      </c>
      <c r="I39" s="35">
        <f>SUM('Full Data New'!D152:D158)</f>
        <v>77663.530000000013</v>
      </c>
      <c r="J39" s="35">
        <f>SUM('Full Data New'!E152:E158)</f>
        <v>88328</v>
      </c>
      <c r="K39" s="35">
        <f>I39-J39</f>
        <v>-10664.469999999987</v>
      </c>
      <c r="L39" s="36">
        <f>+I39/J39</f>
        <v>0.87926286115388119</v>
      </c>
      <c r="M39" s="36"/>
      <c r="N39" s="35">
        <v>210037</v>
      </c>
      <c r="O39" s="35">
        <f>I39-N39</f>
        <v>-132373.46999999997</v>
      </c>
      <c r="P39" s="36">
        <f>+I39/N39</f>
        <v>0.36976118493408311</v>
      </c>
      <c r="Q39" s="46"/>
      <c r="S39" s="46"/>
      <c r="U39" s="46"/>
      <c r="W39" s="46"/>
    </row>
    <row r="40" spans="1:23" x14ac:dyDescent="0.2">
      <c r="B40" s="35">
        <f>SUM('Full Data New'!B160:B164)</f>
        <v>2730.6899999999996</v>
      </c>
      <c r="C40" s="35">
        <f>SUM('Full Data New'!C160:C164)</f>
        <v>2205</v>
      </c>
      <c r="D40" s="35">
        <f>B40-C40</f>
        <v>525.6899999999996</v>
      </c>
      <c r="E40" s="36">
        <f>+B40/C40</f>
        <v>1.2384081632653059</v>
      </c>
      <c r="G40" s="25" t="s">
        <v>255</v>
      </c>
      <c r="I40" s="35">
        <f>SUM('Full Data New'!D160:D164)</f>
        <v>15289.43</v>
      </c>
      <c r="J40" s="35">
        <f>SUM('Full Data New'!E160:E164)</f>
        <v>9935</v>
      </c>
      <c r="K40" s="35">
        <f>I40-J40</f>
        <v>5354.43</v>
      </c>
      <c r="L40" s="36">
        <f>+I40/J40</f>
        <v>1.5389461499748365</v>
      </c>
      <c r="M40" s="36"/>
      <c r="N40" s="35">
        <v>11200</v>
      </c>
      <c r="O40" s="35">
        <f>I40-N40</f>
        <v>4089.4300000000003</v>
      </c>
      <c r="P40" s="36">
        <f>+I40/N40</f>
        <v>1.3651276785714286</v>
      </c>
    </row>
    <row r="41" spans="1:23" x14ac:dyDescent="0.2">
      <c r="B41" s="35">
        <f>SUM('Full Data New'!B166:B171)</f>
        <v>657.1099999999999</v>
      </c>
      <c r="C41" s="35">
        <f>SUM('Full Data New'!C166:C171)</f>
        <v>887.5</v>
      </c>
      <c r="D41" s="35">
        <f>B41-C41</f>
        <v>-230.3900000000001</v>
      </c>
      <c r="E41" s="36">
        <f>+B41/C41</f>
        <v>0.74040563380281676</v>
      </c>
      <c r="G41" s="25" t="s">
        <v>256</v>
      </c>
      <c r="I41" s="35">
        <f>SUM('Full Data New'!D166:D171)</f>
        <v>8004.8099999999995</v>
      </c>
      <c r="J41" s="35">
        <f>SUM('Full Data New'!E166:E171)</f>
        <v>4436.5</v>
      </c>
      <c r="K41" s="35">
        <f>I41-J41</f>
        <v>3568.3099999999995</v>
      </c>
      <c r="L41" s="36">
        <f>+I41/J41</f>
        <v>1.8043074495660993</v>
      </c>
      <c r="M41" s="36"/>
      <c r="N41" s="35">
        <v>10650</v>
      </c>
      <c r="O41" s="35">
        <f>I41-N41</f>
        <v>-2645.1900000000005</v>
      </c>
      <c r="P41" s="36">
        <f>+I41/N41</f>
        <v>0.751625352112676</v>
      </c>
    </row>
    <row r="42" spans="1:23" s="23" customFormat="1" x14ac:dyDescent="0.2">
      <c r="B42" s="45">
        <f>SUM(B39:B41)</f>
        <v>17939.080000000002</v>
      </c>
      <c r="C42" s="45">
        <f>SUM(C39:C41)</f>
        <v>19785.5</v>
      </c>
      <c r="D42" s="45">
        <f>SUM(D39:D41)</f>
        <v>-1846.4199999999998</v>
      </c>
      <c r="E42" s="36">
        <f>+B42/C42</f>
        <v>0.90667812286775673</v>
      </c>
      <c r="G42" s="23" t="s">
        <v>257</v>
      </c>
      <c r="I42" s="45">
        <f>SUM(I39:I41)</f>
        <v>100957.77000000002</v>
      </c>
      <c r="J42" s="45">
        <f>SUM(J39:J41)</f>
        <v>102699.5</v>
      </c>
      <c r="K42" s="45">
        <f>SUM(K39:K41)</f>
        <v>-1741.7299999999868</v>
      </c>
      <c r="L42" s="36">
        <f>+I42/J42</f>
        <v>0.98304052113204077</v>
      </c>
      <c r="M42" s="36"/>
      <c r="N42" s="45">
        <f>SUM(N39:N41)</f>
        <v>231887</v>
      </c>
      <c r="O42" s="45">
        <f>SUM(O39:O41)</f>
        <v>-130929.22999999998</v>
      </c>
      <c r="P42" s="36">
        <f>+I42/N42</f>
        <v>0.43537485930647263</v>
      </c>
      <c r="Q42" s="39"/>
    </row>
    <row r="43" spans="1:23" x14ac:dyDescent="0.2">
      <c r="B43" s="26"/>
      <c r="C43" s="26"/>
      <c r="E43" s="36"/>
      <c r="I43" s="26"/>
      <c r="J43" s="26"/>
      <c r="L43" s="40"/>
      <c r="M43" s="40"/>
      <c r="N43" s="26"/>
      <c r="P43" s="40"/>
      <c r="Q43" s="39"/>
    </row>
    <row r="44" spans="1:23" x14ac:dyDescent="0.2">
      <c r="B44" s="35">
        <f>SUM('Full Data New'!B174:B179)</f>
        <v>7419.3600000000006</v>
      </c>
      <c r="C44" s="35">
        <f>SUM('Full Data New'!C174:C179)</f>
        <v>10408</v>
      </c>
      <c r="D44" s="35">
        <f>B44-C44</f>
        <v>-2988.6399999999994</v>
      </c>
      <c r="E44" s="36">
        <f>+B44/C44</f>
        <v>0.71285165257494243</v>
      </c>
      <c r="G44" s="25" t="s">
        <v>258</v>
      </c>
      <c r="I44" s="35">
        <f>SUM('Full Data New'!D174:D179)</f>
        <v>57649.25</v>
      </c>
      <c r="J44" s="35">
        <f>SUM('Full Data New'!E174:E179)</f>
        <v>55853</v>
      </c>
      <c r="K44" s="35">
        <f>I44-J44</f>
        <v>1796.25</v>
      </c>
      <c r="L44" s="36">
        <f>+I44/J44</f>
        <v>1.0321603136805544</v>
      </c>
      <c r="M44" s="36"/>
      <c r="N44" s="35">
        <v>132015</v>
      </c>
      <c r="O44" s="35">
        <f>I44-N44</f>
        <v>-74365.75</v>
      </c>
      <c r="P44" s="36">
        <f>+I44/N44</f>
        <v>0.43668711888800515</v>
      </c>
      <c r="Q44" s="39"/>
    </row>
    <row r="45" spans="1:23" x14ac:dyDescent="0.2">
      <c r="B45" s="35">
        <f>SUM('Full Data New'!B181:B185)</f>
        <v>34294.54</v>
      </c>
      <c r="C45" s="35">
        <f>SUM('Full Data New'!C181:C185)</f>
        <v>19880</v>
      </c>
      <c r="D45" s="35">
        <f>B45-C45</f>
        <v>14414.54</v>
      </c>
      <c r="E45" s="36">
        <f>+B45/C45</f>
        <v>1.7250774647887324</v>
      </c>
      <c r="G45" s="25" t="s">
        <v>259</v>
      </c>
      <c r="I45" s="35">
        <f>SUM('Full Data New'!D181:D185)</f>
        <v>130912.87</v>
      </c>
      <c r="J45" s="35">
        <f>SUM('Full Data New'!E181:E185)</f>
        <v>93479</v>
      </c>
      <c r="K45" s="35">
        <f>I45-J45</f>
        <v>37433.869999999995</v>
      </c>
      <c r="L45" s="36">
        <f>+I45/J45</f>
        <v>1.4004521871222413</v>
      </c>
      <c r="M45" s="36"/>
      <c r="N45" s="35">
        <v>123525</v>
      </c>
      <c r="O45" s="35">
        <f>I45-N45</f>
        <v>7387.8699999999953</v>
      </c>
      <c r="P45" s="36">
        <f>+I45/N45</f>
        <v>1.0598087026917629</v>
      </c>
      <c r="Q45" s="39"/>
    </row>
    <row r="46" spans="1:23" x14ac:dyDescent="0.2">
      <c r="B46" s="35">
        <f>SUM('Full Data New'!B187:B188)</f>
        <v>120.86</v>
      </c>
      <c r="C46" s="35">
        <f>SUM('Full Data New'!C187:C188)</f>
        <v>125</v>
      </c>
      <c r="D46" s="35">
        <f>B46-C46</f>
        <v>-4.1400000000000006</v>
      </c>
      <c r="E46" s="36">
        <f>+B46/C46</f>
        <v>0.96687999999999996</v>
      </c>
      <c r="G46" s="25" t="s">
        <v>260</v>
      </c>
      <c r="I46" s="35">
        <f>SUM('Full Data New'!D187:D188)</f>
        <v>337.02</v>
      </c>
      <c r="J46" s="35">
        <f>SUM('Full Data New'!E187:E188)</f>
        <v>626</v>
      </c>
      <c r="K46" s="35">
        <f>I46-J46</f>
        <v>-288.98</v>
      </c>
      <c r="L46" s="36">
        <f>+I46/J46</f>
        <v>0.53837060702875394</v>
      </c>
      <c r="M46" s="36"/>
      <c r="N46" s="35">
        <v>4000</v>
      </c>
      <c r="O46" s="35">
        <f>I46-N46</f>
        <v>-3662.98</v>
      </c>
      <c r="P46" s="36">
        <f>+I46/N46</f>
        <v>8.4254999999999997E-2</v>
      </c>
      <c r="Q46" s="39"/>
    </row>
    <row r="47" spans="1:23" s="23" customFormat="1" x14ac:dyDescent="0.2">
      <c r="B47" s="45">
        <f>SUM(B44:B46)</f>
        <v>41834.76</v>
      </c>
      <c r="C47" s="45">
        <f>SUM(C44:C46)</f>
        <v>30413</v>
      </c>
      <c r="D47" s="45">
        <f>+B47-C47</f>
        <v>11421.760000000002</v>
      </c>
      <c r="E47" s="36">
        <f>+B47/C47</f>
        <v>1.375555190214711</v>
      </c>
      <c r="G47" s="23" t="s">
        <v>261</v>
      </c>
      <c r="I47" s="45">
        <f>SUM(I44:I46)</f>
        <v>188899.13999999998</v>
      </c>
      <c r="J47" s="45">
        <f>SUM(J44:J46)</f>
        <v>149958</v>
      </c>
      <c r="K47" s="45">
        <f>SUM(K44:K46)</f>
        <v>38941.139999999992</v>
      </c>
      <c r="L47" s="36">
        <f>+I47/J47</f>
        <v>1.2596803104869363</v>
      </c>
      <c r="M47" s="36"/>
      <c r="N47" s="45">
        <f>SUM(N44:N46)</f>
        <v>259540</v>
      </c>
      <c r="O47" s="45">
        <f>SUM(O44:O46)</f>
        <v>-70640.86</v>
      </c>
      <c r="P47" s="36">
        <f>+I47/N47</f>
        <v>0.72782284040995604</v>
      </c>
      <c r="Q47" s="39"/>
    </row>
    <row r="48" spans="1:23" x14ac:dyDescent="0.2">
      <c r="B48" s="26"/>
      <c r="C48" s="26"/>
      <c r="E48" s="36"/>
      <c r="I48" s="26"/>
      <c r="J48" s="26"/>
      <c r="L48" s="40"/>
      <c r="M48" s="40"/>
      <c r="N48" s="26"/>
      <c r="P48" s="40"/>
      <c r="Q48" s="39"/>
    </row>
    <row r="49" spans="1:17" s="23" customFormat="1" x14ac:dyDescent="0.2">
      <c r="B49" s="45">
        <f>+'Full Data New'!B189</f>
        <v>3473.2999999999997</v>
      </c>
      <c r="C49" s="45">
        <f>+'Full Data New'!C189</f>
        <v>13788</v>
      </c>
      <c r="D49" s="45">
        <f>+B49-C49</f>
        <v>-10314.700000000001</v>
      </c>
      <c r="E49" s="36">
        <f>+B49/C49</f>
        <v>0.25190745575863066</v>
      </c>
      <c r="G49" s="23" t="s">
        <v>262</v>
      </c>
      <c r="I49" s="45">
        <f>+'Full Data New'!D189</f>
        <v>19574.64</v>
      </c>
      <c r="J49" s="45">
        <f>+'Full Data New'!E189</f>
        <v>73858</v>
      </c>
      <c r="K49" s="45">
        <f>I49-J49</f>
        <v>-54283.360000000001</v>
      </c>
      <c r="L49" s="36">
        <f>+I49/J49</f>
        <v>0.26503073465298277</v>
      </c>
      <c r="M49" s="36"/>
      <c r="N49" s="45">
        <v>175289</v>
      </c>
      <c r="O49" s="45">
        <f>I49-N49</f>
        <v>-155714.35999999999</v>
      </c>
      <c r="P49" s="36">
        <f>+I49/N49</f>
        <v>0.11167066957995082</v>
      </c>
      <c r="Q49" s="39"/>
    </row>
    <row r="50" spans="1:17" x14ac:dyDescent="0.2">
      <c r="B50" s="26"/>
      <c r="C50" s="26"/>
      <c r="E50" s="36"/>
      <c r="I50" s="26"/>
      <c r="J50" s="26"/>
      <c r="L50" s="40"/>
      <c r="M50" s="40"/>
      <c r="N50" s="26"/>
      <c r="P50" s="40"/>
      <c r="Q50" s="39"/>
    </row>
    <row r="51" spans="1:17" s="23" customFormat="1" x14ac:dyDescent="0.2">
      <c r="B51" s="45">
        <f>+'Full Data New'!B199</f>
        <v>3697.72</v>
      </c>
      <c r="C51" s="45">
        <f>+'Full Data New'!C199</f>
        <v>2513</v>
      </c>
      <c r="D51" s="45">
        <f>+B51-C51</f>
        <v>1184.7199999999998</v>
      </c>
      <c r="E51" s="36">
        <f>+B51/C51</f>
        <v>1.4714365300437724</v>
      </c>
      <c r="G51" s="23" t="s">
        <v>263</v>
      </c>
      <c r="I51" s="45">
        <f>+'Full Data New'!D199</f>
        <v>18251.32</v>
      </c>
      <c r="J51" s="45">
        <f>+'Full Data New'!E199</f>
        <v>13818</v>
      </c>
      <c r="K51" s="45">
        <f>I51-J51</f>
        <v>4433.32</v>
      </c>
      <c r="L51" s="36">
        <f>+I51/J51</f>
        <v>1.3208365899551309</v>
      </c>
      <c r="M51" s="36"/>
      <c r="N51" s="45">
        <v>32710</v>
      </c>
      <c r="O51" s="45">
        <f>I51-N51</f>
        <v>-14458.68</v>
      </c>
      <c r="P51" s="36">
        <f>+I51/N51</f>
        <v>0.55797370834607152</v>
      </c>
      <c r="Q51" s="39"/>
    </row>
    <row r="52" spans="1:17" x14ac:dyDescent="0.2">
      <c r="B52" s="26"/>
      <c r="C52" s="26"/>
      <c r="E52" s="36"/>
      <c r="I52" s="26"/>
      <c r="J52" s="26"/>
      <c r="L52" s="40"/>
      <c r="M52" s="40"/>
      <c r="N52" s="26"/>
      <c r="P52" s="40"/>
      <c r="Q52" s="39"/>
    </row>
    <row r="53" spans="1:17" x14ac:dyDescent="0.2">
      <c r="B53" s="35">
        <f>SUM('Full Data New'!B207:B210)</f>
        <v>2334.3799999999997</v>
      </c>
      <c r="C53" s="35">
        <f>SUM('Full Data New'!C207:C210)</f>
        <v>2399.75</v>
      </c>
      <c r="D53" s="35">
        <f>B53-C53</f>
        <v>-65.370000000000346</v>
      </c>
      <c r="E53" s="36">
        <f>+B53/C53</f>
        <v>0.97275966246483991</v>
      </c>
      <c r="G53" s="25" t="s">
        <v>264</v>
      </c>
      <c r="I53" s="35">
        <f>SUM('Full Data New'!D207:D210)</f>
        <v>12970.92</v>
      </c>
      <c r="J53" s="35">
        <f>SUM('Full Data New'!E207:E210)</f>
        <v>13115.75</v>
      </c>
      <c r="K53" s="35">
        <f>I53-J53</f>
        <v>-144.82999999999993</v>
      </c>
      <c r="L53" s="36">
        <f>+I53/J53</f>
        <v>0.98895755103596816</v>
      </c>
      <c r="M53" s="36"/>
      <c r="N53" s="35">
        <v>31032</v>
      </c>
      <c r="O53" s="35">
        <f>I53-N53</f>
        <v>-18061.080000000002</v>
      </c>
      <c r="P53" s="36">
        <f>+I53/N53</f>
        <v>0.41798530549110596</v>
      </c>
      <c r="Q53" s="39"/>
    </row>
    <row r="54" spans="1:17" x14ac:dyDescent="0.2">
      <c r="B54" s="35">
        <f>SUM('Full Data New'!B212:B218)</f>
        <v>136961.9</v>
      </c>
      <c r="C54" s="35">
        <f>SUM('Full Data New'!C212:C218)</f>
        <v>102968</v>
      </c>
      <c r="D54" s="35">
        <f>B54-C54</f>
        <v>33993.899999999994</v>
      </c>
      <c r="E54" s="36">
        <f>+B54/C54</f>
        <v>1.3301404319788672</v>
      </c>
      <c r="G54" s="25" t="s">
        <v>265</v>
      </c>
      <c r="I54" s="35">
        <f>SUM('Full Data New'!D212:D218)</f>
        <v>511425.22000000003</v>
      </c>
      <c r="J54" s="35">
        <f>SUM('Full Data New'!E212:E218)</f>
        <v>465836</v>
      </c>
      <c r="K54" s="35">
        <f>I54-J54</f>
        <v>45589.22000000003</v>
      </c>
      <c r="L54" s="36">
        <f>+I54/J54</f>
        <v>1.0978653861015466</v>
      </c>
      <c r="M54" s="36"/>
      <c r="N54" s="35">
        <v>544578</v>
      </c>
      <c r="O54" s="35">
        <f>I54-N54</f>
        <v>-33152.77999999997</v>
      </c>
      <c r="P54" s="36">
        <f>+I54/N54</f>
        <v>0.93912207250384705</v>
      </c>
      <c r="Q54" s="39"/>
    </row>
    <row r="55" spans="1:17" x14ac:dyDescent="0.2">
      <c r="B55" s="35">
        <f>SUM('Full Data New'!B220:B229)+'Full Data New'!B231</f>
        <v>1101.53</v>
      </c>
      <c r="C55" s="35">
        <f>SUM('Full Data New'!C220:C229)+'Full Data New'!C231</f>
        <v>1317</v>
      </c>
      <c r="D55" s="35">
        <f>B55-C55</f>
        <v>-215.47000000000003</v>
      </c>
      <c r="E55" s="36">
        <f>+B55/C55</f>
        <v>0.83639331814730444</v>
      </c>
      <c r="G55" s="25" t="s">
        <v>266</v>
      </c>
      <c r="I55" s="35">
        <f>SUM('Full Data New'!D220:D229)+'Full Data New'!D231</f>
        <v>25283.51</v>
      </c>
      <c r="J55" s="35">
        <f>SUM('Full Data New'!E220:E229)+'Full Data New'!E231</f>
        <v>22084</v>
      </c>
      <c r="K55" s="35">
        <f>I55-J55</f>
        <v>3199.5099999999984</v>
      </c>
      <c r="L55" s="36">
        <f>+I55/J55</f>
        <v>1.1448790979894945</v>
      </c>
      <c r="M55" s="36"/>
      <c r="N55" s="35">
        <v>33300</v>
      </c>
      <c r="O55" s="35">
        <f>I55-N55</f>
        <v>-8016.4900000000016</v>
      </c>
      <c r="P55" s="36">
        <f>+I55/N55</f>
        <v>0.75926456456456448</v>
      </c>
      <c r="Q55" s="39"/>
    </row>
    <row r="56" spans="1:17" s="23" customFormat="1" x14ac:dyDescent="0.2">
      <c r="B56" s="45">
        <f>B55+B54+B53</f>
        <v>140397.81</v>
      </c>
      <c r="C56" s="45">
        <f>C55+C54+C53</f>
        <v>106684.75</v>
      </c>
      <c r="D56" s="45">
        <f>+B56-C56</f>
        <v>33713.06</v>
      </c>
      <c r="E56" s="36">
        <f>+B56/C56</f>
        <v>1.3160063645460105</v>
      </c>
      <c r="G56" s="23" t="s">
        <v>267</v>
      </c>
      <c r="I56" s="45">
        <f>SUM(I53:I55)</f>
        <v>549679.65</v>
      </c>
      <c r="J56" s="45">
        <f>SUM(J53:J55)</f>
        <v>501035.75</v>
      </c>
      <c r="K56" s="45">
        <f>K55+K54+K53</f>
        <v>48643.900000000023</v>
      </c>
      <c r="L56" s="36">
        <f>+I56/J56</f>
        <v>1.097086684932163</v>
      </c>
      <c r="M56" s="36"/>
      <c r="N56" s="45">
        <f>N55+N54+N53</f>
        <v>608910</v>
      </c>
      <c r="O56" s="45">
        <f>O55+O54+O53</f>
        <v>-59230.349999999977</v>
      </c>
      <c r="P56" s="36">
        <f>+I56/N56</f>
        <v>0.90272725033256151</v>
      </c>
      <c r="Q56" s="39"/>
    </row>
    <row r="57" spans="1:17" s="42" customFormat="1" ht="14.25" x14ac:dyDescent="0.2">
      <c r="A57" s="25"/>
      <c r="B57" s="26"/>
      <c r="C57" s="26"/>
      <c r="D57" s="26"/>
      <c r="E57" s="36"/>
      <c r="F57" s="25"/>
      <c r="G57" s="25"/>
      <c r="H57" s="25"/>
      <c r="I57" s="26"/>
      <c r="J57" s="26"/>
      <c r="K57" s="26"/>
      <c r="L57" s="40"/>
      <c r="Q57" s="39"/>
    </row>
    <row r="58" spans="1:17" x14ac:dyDescent="0.2">
      <c r="B58" s="37">
        <f>+B56+B51+B49+B47+B42+B37+B31+B26</f>
        <v>605839.78</v>
      </c>
      <c r="C58" s="37">
        <f>+C56+C51+C49+C47+C42+C37+C31+C26</f>
        <v>602989.25</v>
      </c>
      <c r="D58" s="37">
        <f>B58-C58</f>
        <v>2850.5300000000279</v>
      </c>
      <c r="E58" s="36"/>
      <c r="F58" s="23"/>
      <c r="G58" s="38" t="s">
        <v>214</v>
      </c>
      <c r="H58" s="23"/>
      <c r="I58" s="37">
        <f>+I56+I51+I49+I47+I42+I37+I31+I26</f>
        <v>3162945.05</v>
      </c>
      <c r="J58" s="37">
        <f>+J56+J51+J49+J47+J42+J37+J31+J26</f>
        <v>2988710.25</v>
      </c>
      <c r="K58" s="37">
        <f>I58-J58</f>
        <v>174234.79999999981</v>
      </c>
      <c r="L58" s="36">
        <f>+I58/J58-1</f>
        <v>5.8297655318042318E-2</v>
      </c>
      <c r="M58" s="47"/>
      <c r="N58" s="37">
        <f>+N56+N51+N49+N47+N42+N37+N31+N26</f>
        <v>6163344</v>
      </c>
      <c r="O58" s="37">
        <f>I58-N58</f>
        <v>-3000398.95</v>
      </c>
      <c r="P58" s="36"/>
      <c r="Q58" s="39"/>
    </row>
    <row r="59" spans="1:17" s="42" customFormat="1" ht="14.25" x14ac:dyDescent="0.2">
      <c r="A59" s="25"/>
      <c r="B59" s="26"/>
      <c r="C59" s="26"/>
      <c r="D59" s="26"/>
      <c r="E59" s="36"/>
      <c r="F59" s="25"/>
      <c r="G59" s="25"/>
      <c r="H59" s="25"/>
      <c r="I59" s="26"/>
      <c r="J59" s="26"/>
      <c r="K59" s="26"/>
      <c r="L59" s="40"/>
      <c r="Q59" s="39"/>
    </row>
    <row r="60" spans="1:17" x14ac:dyDescent="0.2">
      <c r="B60" s="37">
        <f>+B21-B58</f>
        <v>538439.67669999995</v>
      </c>
      <c r="C60" s="37">
        <f>+C21-C58</f>
        <v>106311.60999999999</v>
      </c>
      <c r="D60" s="37">
        <f>B60-C60</f>
        <v>432128.06669999997</v>
      </c>
      <c r="E60" s="36"/>
      <c r="F60" s="23"/>
      <c r="G60" s="38" t="s">
        <v>268</v>
      </c>
      <c r="H60" s="23"/>
      <c r="I60" s="37">
        <f>+I21-I58</f>
        <v>1025602.8540000003</v>
      </c>
      <c r="J60" s="37">
        <f>+J21-J58</f>
        <v>596256.58000000007</v>
      </c>
      <c r="K60" s="37">
        <f>+K21-K58</f>
        <v>429346.27400000009</v>
      </c>
      <c r="L60" s="36"/>
      <c r="M60" s="48"/>
      <c r="N60" s="37">
        <f>+N21-N58</f>
        <v>31722</v>
      </c>
      <c r="O60" s="37">
        <f>I60-N60</f>
        <v>993880.85400000028</v>
      </c>
      <c r="P60" s="36"/>
      <c r="Q60" s="39"/>
    </row>
    <row r="62" spans="1:17" s="49" customFormat="1" ht="14.25" hidden="1" x14ac:dyDescent="0.2">
      <c r="A62" s="42"/>
      <c r="D62" s="50" t="s">
        <v>269</v>
      </c>
      <c r="F62" s="87" t="s">
        <v>270</v>
      </c>
      <c r="G62" s="87"/>
      <c r="H62" s="87"/>
      <c r="I62" s="87"/>
      <c r="J62" s="87"/>
      <c r="K62" s="87"/>
      <c r="L62" s="87"/>
      <c r="M62" s="87"/>
      <c r="N62" s="87"/>
    </row>
    <row r="63" spans="1:17" s="49" customFormat="1" ht="11.25" hidden="1" x14ac:dyDescent="0.2">
      <c r="C63" s="50"/>
      <c r="G63" s="51" t="s">
        <v>271</v>
      </c>
      <c r="I63" s="52">
        <f>-I6*0.03</f>
        <v>-15699.5532</v>
      </c>
      <c r="J63" s="52">
        <f>-J6*0.03</f>
        <v>-10710</v>
      </c>
      <c r="L63" s="49" t="s">
        <v>271</v>
      </c>
      <c r="N63" s="52">
        <v>-23100</v>
      </c>
    </row>
    <row r="64" spans="1:17" s="49" customFormat="1" ht="11.25" hidden="1" x14ac:dyDescent="0.2">
      <c r="B64" s="50"/>
      <c r="C64" s="50"/>
      <c r="D64" s="50"/>
      <c r="G64" s="51" t="s">
        <v>272</v>
      </c>
      <c r="I64" s="52">
        <f>-0.2*I11</f>
        <v>-62140.806000000011</v>
      </c>
      <c r="J64" s="52">
        <f>-0.2*J11</f>
        <v>-32045</v>
      </c>
      <c r="L64" s="49" t="s">
        <v>272</v>
      </c>
      <c r="N64" s="52">
        <v>-38500</v>
      </c>
    </row>
    <row r="65" spans="1:16" s="49" customFormat="1" ht="11.25" hidden="1" x14ac:dyDescent="0.2">
      <c r="B65" s="50"/>
      <c r="C65" s="50"/>
      <c r="D65" s="50"/>
      <c r="G65" s="51" t="s">
        <v>273</v>
      </c>
      <c r="I65" s="52">
        <f>995729*-0.05</f>
        <v>-49786.450000000004</v>
      </c>
      <c r="J65" s="52">
        <f>-0.05*(755000)</f>
        <v>-37750</v>
      </c>
      <c r="L65" s="49" t="s">
        <v>273</v>
      </c>
      <c r="N65" s="52">
        <v>-37750</v>
      </c>
    </row>
    <row r="66" spans="1:16" s="49" customFormat="1" ht="11.25" hidden="1" x14ac:dyDescent="0.2">
      <c r="B66" s="50"/>
      <c r="C66" s="50"/>
      <c r="D66" s="50"/>
      <c r="F66" s="53" t="s">
        <v>274</v>
      </c>
      <c r="G66" s="54"/>
      <c r="H66" s="53"/>
      <c r="I66" s="55">
        <f>-SUM(I63:I65)</f>
        <v>127626.80920000002</v>
      </c>
      <c r="J66" s="55">
        <f>-SUM(J63:J65)</f>
        <v>80505</v>
      </c>
      <c r="K66" s="53"/>
      <c r="L66" s="53"/>
      <c r="M66" s="53"/>
      <c r="N66" s="55">
        <v>99350</v>
      </c>
    </row>
    <row r="67" spans="1:16" s="49" customFormat="1" ht="11.25" hidden="1" x14ac:dyDescent="0.2">
      <c r="B67" s="50"/>
      <c r="C67" s="50"/>
      <c r="D67" s="50"/>
      <c r="G67" s="51"/>
      <c r="I67" s="52"/>
      <c r="J67" s="52"/>
    </row>
    <row r="68" spans="1:16" s="42" customFormat="1" ht="14.25" hidden="1" x14ac:dyDescent="0.2">
      <c r="A68" s="49"/>
      <c r="B68" s="49"/>
      <c r="C68" s="49"/>
      <c r="D68" s="50"/>
      <c r="E68" s="49"/>
      <c r="F68" s="87" t="s">
        <v>275</v>
      </c>
      <c r="G68" s="87"/>
      <c r="H68" s="87"/>
      <c r="I68" s="87"/>
      <c r="J68" s="87"/>
      <c r="K68" s="87"/>
      <c r="L68" s="87"/>
      <c r="M68" s="87"/>
      <c r="N68" s="87"/>
    </row>
    <row r="69" spans="1:16" s="42" customFormat="1" ht="14.25" hidden="1" x14ac:dyDescent="0.2">
      <c r="A69" s="49"/>
      <c r="B69" s="49"/>
      <c r="C69" s="49"/>
      <c r="D69" s="56"/>
      <c r="E69" s="49"/>
      <c r="F69" s="49"/>
      <c r="G69" s="57" t="s">
        <v>276</v>
      </c>
      <c r="H69" s="49"/>
      <c r="I69" s="52">
        <f>-I8*0.5</f>
        <v>-135515.19</v>
      </c>
      <c r="J69" s="52">
        <f>-J8*0.5</f>
        <v>-117600</v>
      </c>
      <c r="K69" s="49"/>
      <c r="L69" s="58" t="s">
        <v>276</v>
      </c>
      <c r="N69" s="52">
        <v>-50000</v>
      </c>
    </row>
    <row r="70" spans="1:16" s="49" customFormat="1" ht="11.25" hidden="1" x14ac:dyDescent="0.2">
      <c r="F70" s="53" t="s">
        <v>277</v>
      </c>
      <c r="G70" s="53"/>
      <c r="H70" s="53"/>
      <c r="I70" s="59">
        <f>-I69</f>
        <v>135515.19</v>
      </c>
      <c r="J70" s="59">
        <f>-J69</f>
        <v>117600</v>
      </c>
      <c r="K70" s="53"/>
      <c r="L70" s="53"/>
      <c r="M70" s="53"/>
      <c r="N70" s="59">
        <v>50000</v>
      </c>
    </row>
    <row r="71" spans="1:16" s="49" customFormat="1" ht="11.25" hidden="1" x14ac:dyDescent="0.2">
      <c r="D71" s="50"/>
      <c r="G71" s="51"/>
      <c r="L71" s="60"/>
    </row>
    <row r="72" spans="1:16" s="49" customFormat="1" ht="14.25" hidden="1" x14ac:dyDescent="0.2">
      <c r="D72" s="50"/>
      <c r="G72" s="42"/>
      <c r="K72" s="52"/>
      <c r="N72" s="42"/>
    </row>
    <row r="73" spans="1:16" s="49" customFormat="1" hidden="1" x14ac:dyDescent="0.2">
      <c r="D73" s="50"/>
      <c r="G73" s="38" t="s">
        <v>278</v>
      </c>
      <c r="I73" s="37">
        <f>+I60-I66-I70</f>
        <v>762460.85480000032</v>
      </c>
      <c r="J73" s="37">
        <f>+J60-J66-J70</f>
        <v>398151.58000000007</v>
      </c>
      <c r="K73" s="52"/>
      <c r="N73" s="37">
        <v>-114634</v>
      </c>
    </row>
    <row r="74" spans="1:16" s="49" customFormat="1" ht="14.25" hidden="1" x14ac:dyDescent="0.2">
      <c r="A74" s="42"/>
      <c r="B74" s="42"/>
      <c r="C74" s="42"/>
      <c r="D74" s="61"/>
      <c r="E74" s="42"/>
      <c r="F74" s="42"/>
      <c r="G74" s="42"/>
      <c r="H74" s="42"/>
      <c r="I74" s="42"/>
      <c r="J74" s="42"/>
      <c r="K74" s="52"/>
    </row>
    <row r="75" spans="1:16" ht="14.25" x14ac:dyDescent="0.2">
      <c r="A75" s="42"/>
      <c r="B75" s="79"/>
      <c r="C75" s="80"/>
      <c r="D75" s="81"/>
      <c r="E75" s="80"/>
      <c r="F75" s="80"/>
      <c r="G75" s="82"/>
      <c r="H75" s="80"/>
      <c r="I75" s="81"/>
      <c r="J75" s="80"/>
      <c r="K75" s="83"/>
      <c r="L75" s="82"/>
      <c r="M75" s="82"/>
      <c r="N75" s="84"/>
      <c r="O75" s="83"/>
      <c r="P75" s="82"/>
    </row>
    <row r="76" spans="1:16" ht="14.25" x14ac:dyDescent="0.2">
      <c r="A76" s="42"/>
      <c r="B76" s="62"/>
      <c r="C76" s="42"/>
      <c r="D76" s="61"/>
      <c r="E76" s="42"/>
      <c r="F76" s="42"/>
      <c r="H76" s="42"/>
      <c r="I76" s="77"/>
      <c r="J76" s="42"/>
      <c r="N76" s="63"/>
    </row>
    <row r="77" spans="1:16" x14ac:dyDescent="0.2">
      <c r="B77" s="25" t="s">
        <v>289</v>
      </c>
      <c r="G77" s="26" t="s">
        <v>297</v>
      </c>
      <c r="J77" s="39"/>
      <c r="K77" s="25"/>
      <c r="N77" s="39"/>
    </row>
    <row r="78" spans="1:16" x14ac:dyDescent="0.2">
      <c r="B78" s="25" t="s">
        <v>291</v>
      </c>
      <c r="D78" s="26">
        <v>2899450</v>
      </c>
      <c r="I78" s="26"/>
      <c r="K78" s="25"/>
      <c r="O78" s="46"/>
    </row>
    <row r="79" spans="1:16" x14ac:dyDescent="0.2">
      <c r="B79" s="25" t="s">
        <v>295</v>
      </c>
      <c r="D79" s="26">
        <f>+I16</f>
        <v>182222</v>
      </c>
      <c r="I79" s="26"/>
      <c r="O79" s="46"/>
    </row>
    <row r="80" spans="1:16" ht="12.75" thickBot="1" x14ac:dyDescent="0.25">
      <c r="B80" s="25" t="s">
        <v>292</v>
      </c>
      <c r="D80" s="78">
        <f>+D78+D79</f>
        <v>3081672</v>
      </c>
      <c r="E80" s="25">
        <v>34</v>
      </c>
      <c r="G80" s="25" t="str">
        <f>+'Full Data New'!A34</f>
        <v>10-404-0300 - Interest Income - TOWN HALL</v>
      </c>
      <c r="H80" s="25" t="s">
        <v>311</v>
      </c>
      <c r="I80" s="26">
        <f>+'Full Data New'!D34</f>
        <v>60167.61</v>
      </c>
      <c r="K80" s="25"/>
      <c r="O80" s="46"/>
    </row>
    <row r="81" spans="2:15" x14ac:dyDescent="0.2">
      <c r="E81" s="25">
        <v>43</v>
      </c>
      <c r="G81" s="25" t="str">
        <f>+'Full Data New'!A43</f>
        <v>10-404-1000 - Town Hall Other</v>
      </c>
      <c r="H81" s="25" t="s">
        <v>311</v>
      </c>
      <c r="I81" s="26">
        <f>+'Full Data New'!D43</f>
        <v>1138555.55</v>
      </c>
      <c r="J81" s="39">
        <f>SUM(I80:I81)</f>
        <v>1198723.1600000001</v>
      </c>
      <c r="K81" s="26">
        <f>+J81+I14</f>
        <v>5767149.0600000005</v>
      </c>
      <c r="N81" s="26"/>
      <c r="O81" s="46"/>
    </row>
    <row r="82" spans="2:15" x14ac:dyDescent="0.2">
      <c r="B82" s="25" t="s">
        <v>316</v>
      </c>
      <c r="I82" s="26"/>
      <c r="K82" s="25"/>
      <c r="N82" s="26">
        <f>SUM(N78:N81)</f>
        <v>0</v>
      </c>
      <c r="O82" s="46"/>
    </row>
    <row r="83" spans="2:15" x14ac:dyDescent="0.2">
      <c r="B83" s="25" t="s">
        <v>293</v>
      </c>
      <c r="D83" s="26">
        <v>717614</v>
      </c>
      <c r="E83" s="25">
        <v>53</v>
      </c>
      <c r="G83" s="25" t="str">
        <f>+'Full Data New'!A53</f>
        <v>10-601-0150 - Bank Interest - LOAN</v>
      </c>
      <c r="H83" s="25" t="s">
        <v>311</v>
      </c>
      <c r="I83" s="26">
        <f>+'Full Data New'!D53</f>
        <v>28589.17</v>
      </c>
    </row>
    <row r="84" spans="2:15" x14ac:dyDescent="0.2">
      <c r="B84" s="25" t="s">
        <v>295</v>
      </c>
      <c r="D84" s="26">
        <f>+I17</f>
        <v>62140.806000000011</v>
      </c>
      <c r="E84" s="25">
        <v>79</v>
      </c>
      <c r="G84" s="25" t="str">
        <f>+'Full Data New'!A79</f>
        <v>10-601-1700 - Professional Fees - COMP PLAN</v>
      </c>
      <c r="H84" s="25" t="s">
        <v>310</v>
      </c>
      <c r="I84" s="26">
        <f>+'Full Data New'!D79</f>
        <v>20000</v>
      </c>
      <c r="K84" s="25"/>
    </row>
    <row r="85" spans="2:15" x14ac:dyDescent="0.2">
      <c r="B85" s="25" t="s">
        <v>296</v>
      </c>
      <c r="D85" s="26">
        <f>-I87-I88</f>
        <v>-515817.73</v>
      </c>
      <c r="E85" s="25">
        <v>87</v>
      </c>
      <c r="G85" s="25" t="str">
        <f>+'Full Data New'!A87</f>
        <v>10-601-2700 - Town Hall Property Expenses</v>
      </c>
      <c r="H85" s="25" t="s">
        <v>311</v>
      </c>
      <c r="I85" s="26">
        <f>+'Full Data New'!D87</f>
        <v>-51.62</v>
      </c>
    </row>
    <row r="86" spans="2:15" ht="12.75" thickBot="1" x14ac:dyDescent="0.25">
      <c r="B86" s="25" t="s">
        <v>292</v>
      </c>
      <c r="D86" s="78">
        <f>+D84+D85+D83</f>
        <v>263937.076</v>
      </c>
      <c r="E86" s="25">
        <v>88</v>
      </c>
      <c r="G86" s="25" t="str">
        <f>+'Full Data New'!A88</f>
        <v>10-601-2725 - Rental Expense</v>
      </c>
      <c r="H86" s="25" t="s">
        <v>311</v>
      </c>
      <c r="I86" s="26">
        <f>+'Full Data New'!D88</f>
        <v>2508.9899999999998</v>
      </c>
    </row>
    <row r="87" spans="2:15" x14ac:dyDescent="0.2">
      <c r="D87" s="25"/>
      <c r="E87" s="25">
        <v>89</v>
      </c>
      <c r="G87" s="25" t="str">
        <f>+'Full Data New'!A89</f>
        <v>10-601-2750 - Town Street Projects</v>
      </c>
      <c r="H87" s="25" t="s">
        <v>309</v>
      </c>
      <c r="I87" s="26">
        <f>+'Full Data New'!D89</f>
        <v>3070.75</v>
      </c>
    </row>
    <row r="88" spans="2:15" x14ac:dyDescent="0.2">
      <c r="B88" s="25" t="s">
        <v>315</v>
      </c>
      <c r="E88" s="25">
        <v>90</v>
      </c>
      <c r="G88" s="25" t="str">
        <f>+'Full Data New'!A90</f>
        <v>10-601-2800 - Storm Water / Street Flooding</v>
      </c>
      <c r="H88" s="25" t="s">
        <v>309</v>
      </c>
      <c r="I88" s="26">
        <f>+'Full Data New'!D90</f>
        <v>512746.98</v>
      </c>
    </row>
    <row r="89" spans="2:15" x14ac:dyDescent="0.2">
      <c r="B89" s="25" t="s">
        <v>293</v>
      </c>
      <c r="D89" s="26">
        <v>45000</v>
      </c>
      <c r="E89" s="25">
        <v>108</v>
      </c>
      <c r="G89" s="25" t="str">
        <f>+'Full Data New'!A108</f>
        <v>10-602-2050 - Equipment / Asset - Depreciable</v>
      </c>
      <c r="H89" s="25" t="s">
        <v>311</v>
      </c>
      <c r="I89" s="26">
        <f>+'Full Data New'!D108</f>
        <v>3766256.38</v>
      </c>
    </row>
    <row r="90" spans="2:15" x14ac:dyDescent="0.2">
      <c r="B90" s="25" t="s">
        <v>296</v>
      </c>
      <c r="D90" s="26">
        <f>-I84</f>
        <v>-20000</v>
      </c>
      <c r="E90" s="25">
        <v>149</v>
      </c>
      <c r="G90" s="25" t="str">
        <f>+'Full Data New'!A149</f>
        <v>10-603-2050 - Equipment / Asset - Depreciable</v>
      </c>
      <c r="H90" s="25" t="s">
        <v>312</v>
      </c>
      <c r="I90" s="26">
        <f>+'Full Data New'!D149</f>
        <v>146078.35</v>
      </c>
      <c r="J90" s="39">
        <f>SUM(I83:I91)</f>
        <v>4494475.46</v>
      </c>
      <c r="K90" s="26">
        <f>+I58+J90</f>
        <v>7657420.5099999998</v>
      </c>
    </row>
    <row r="91" spans="2:15" ht="12.75" thickBot="1" x14ac:dyDescent="0.25">
      <c r="B91" s="25" t="s">
        <v>292</v>
      </c>
      <c r="D91" s="78">
        <f>+D89+D90</f>
        <v>25000</v>
      </c>
      <c r="E91" s="25">
        <v>230</v>
      </c>
      <c r="G91" s="25" t="str">
        <f>+'Full Data New'!A230</f>
        <v>10-608-1800 - DBP Donations Purchases</v>
      </c>
      <c r="H91" s="25" t="s">
        <v>313</v>
      </c>
      <c r="I91" s="26">
        <f>+'Full Data New'!D230</f>
        <v>15276.46</v>
      </c>
      <c r="K91" s="25"/>
    </row>
    <row r="92" spans="2:15" x14ac:dyDescent="0.2">
      <c r="D92" s="25"/>
      <c r="I92" s="26"/>
    </row>
    <row r="93" spans="2:15" x14ac:dyDescent="0.2">
      <c r="B93" s="25" t="s">
        <v>317</v>
      </c>
      <c r="I93" s="26"/>
    </row>
    <row r="94" spans="2:15" x14ac:dyDescent="0.2">
      <c r="B94" s="25" t="s">
        <v>293</v>
      </c>
      <c r="D94" s="26">
        <v>140121</v>
      </c>
      <c r="G94" s="25" t="s">
        <v>303</v>
      </c>
      <c r="I94" s="26">
        <f>+'Full Data New'!D45-'Full Data New'!D232</f>
        <v>-1890271.4499999993</v>
      </c>
    </row>
    <row r="95" spans="2:15" x14ac:dyDescent="0.2">
      <c r="B95" s="25" t="s">
        <v>300</v>
      </c>
      <c r="D95" s="26">
        <f>-D106</f>
        <v>94000</v>
      </c>
      <c r="G95" s="25" t="s">
        <v>304</v>
      </c>
      <c r="I95" s="26">
        <f>-J81</f>
        <v>-1198723.1600000001</v>
      </c>
    </row>
    <row r="96" spans="2:15" x14ac:dyDescent="0.2">
      <c r="B96" s="25" t="s">
        <v>296</v>
      </c>
      <c r="D96" s="26">
        <f>-I90</f>
        <v>-146078.35</v>
      </c>
      <c r="G96" s="25" t="s">
        <v>305</v>
      </c>
      <c r="I96" s="26">
        <f>+J90</f>
        <v>4494475.46</v>
      </c>
    </row>
    <row r="97" spans="2:9" ht="12.75" thickBot="1" x14ac:dyDescent="0.25">
      <c r="B97" s="25" t="s">
        <v>292</v>
      </c>
      <c r="D97" s="78">
        <f>+D95+D96+D94</f>
        <v>88042.65</v>
      </c>
      <c r="G97" s="25" t="s">
        <v>308</v>
      </c>
      <c r="I97" s="26">
        <f>-I19</f>
        <v>-379877.99600000004</v>
      </c>
    </row>
    <row r="98" spans="2:9" ht="12.75" thickBot="1" x14ac:dyDescent="0.25">
      <c r="G98" s="25" t="s">
        <v>306</v>
      </c>
      <c r="I98" s="78">
        <f>SUM(I94:I97)</f>
        <v>1025602.8540000005</v>
      </c>
    </row>
    <row r="99" spans="2:9" x14ac:dyDescent="0.2">
      <c r="B99" s="25" t="s">
        <v>318</v>
      </c>
      <c r="G99" s="25" t="s">
        <v>307</v>
      </c>
      <c r="I99" s="26">
        <f>+I98-I60</f>
        <v>0</v>
      </c>
    </row>
    <row r="100" spans="2:9" x14ac:dyDescent="0.2">
      <c r="B100" s="25" t="s">
        <v>294</v>
      </c>
      <c r="D100" s="26">
        <v>38370</v>
      </c>
      <c r="I100" s="26"/>
    </row>
    <row r="101" spans="2:9" x14ac:dyDescent="0.2">
      <c r="B101" s="25" t="s">
        <v>296</v>
      </c>
      <c r="D101" s="26">
        <f>-I91</f>
        <v>-15276.46</v>
      </c>
      <c r="I101" s="26"/>
    </row>
    <row r="102" spans="2:9" ht="12.75" thickBot="1" x14ac:dyDescent="0.25">
      <c r="B102" s="25" t="s">
        <v>292</v>
      </c>
      <c r="D102" s="78">
        <f>+D100+D101+D99</f>
        <v>23093.54</v>
      </c>
      <c r="I102" s="26"/>
    </row>
    <row r="103" spans="2:9" x14ac:dyDescent="0.2">
      <c r="I103" s="26"/>
    </row>
    <row r="104" spans="2:9" x14ac:dyDescent="0.2">
      <c r="B104" s="25" t="s">
        <v>275</v>
      </c>
    </row>
    <row r="105" spans="2:9" x14ac:dyDescent="0.2">
      <c r="B105" s="25" t="s">
        <v>293</v>
      </c>
      <c r="D105" s="26">
        <v>121300</v>
      </c>
    </row>
    <row r="106" spans="2:9" x14ac:dyDescent="0.2">
      <c r="B106" s="25" t="s">
        <v>299</v>
      </c>
      <c r="D106" s="26">
        <v>-94000</v>
      </c>
    </row>
    <row r="107" spans="2:9" ht="12.75" thickBot="1" x14ac:dyDescent="0.25">
      <c r="B107" s="25" t="s">
        <v>292</v>
      </c>
      <c r="D107" s="78">
        <f>+D105+D106</f>
        <v>27300</v>
      </c>
    </row>
    <row r="109" spans="2:9" x14ac:dyDescent="0.2">
      <c r="B109" s="25" t="s">
        <v>314</v>
      </c>
    </row>
    <row r="110" spans="2:9" x14ac:dyDescent="0.2">
      <c r="B110" s="25" t="s">
        <v>293</v>
      </c>
      <c r="D110" s="26">
        <v>1710383</v>
      </c>
    </row>
    <row r="111" spans="2:9" x14ac:dyDescent="0.2">
      <c r="B111" s="25" t="s">
        <v>295</v>
      </c>
      <c r="D111" s="26">
        <f>+I18</f>
        <v>135515.19</v>
      </c>
      <c r="E111" s="25" t="s">
        <v>319</v>
      </c>
      <c r="I111" s="26"/>
    </row>
    <row r="112" spans="2:9" x14ac:dyDescent="0.2">
      <c r="B112" s="25" t="s">
        <v>298</v>
      </c>
      <c r="D112" s="26">
        <v>3000000</v>
      </c>
      <c r="I112" s="26"/>
    </row>
    <row r="113" spans="2:9" x14ac:dyDescent="0.2">
      <c r="B113" s="25" t="s">
        <v>320</v>
      </c>
      <c r="D113" s="26">
        <f>227600+154000</f>
        <v>381600</v>
      </c>
      <c r="I113" s="26"/>
    </row>
    <row r="114" spans="2:9" x14ac:dyDescent="0.2">
      <c r="B114" s="25" t="s">
        <v>296</v>
      </c>
      <c r="D114" s="26">
        <f>+I81-I83-I85-I86-I89</f>
        <v>-2658747.3699999996</v>
      </c>
      <c r="I114" s="26"/>
    </row>
    <row r="115" spans="2:9" ht="12.75" thickBot="1" x14ac:dyDescent="0.25">
      <c r="B115" s="25" t="s">
        <v>292</v>
      </c>
      <c r="D115" s="78">
        <f>SUM(D110:D114)</f>
        <v>2568750.8199999998</v>
      </c>
      <c r="I115" s="26"/>
    </row>
    <row r="116" spans="2:9" x14ac:dyDescent="0.2">
      <c r="I116" s="26"/>
    </row>
    <row r="117" spans="2:9" x14ac:dyDescent="0.2">
      <c r="B117" s="25" t="s">
        <v>301</v>
      </c>
      <c r="I117" s="26"/>
    </row>
    <row r="118" spans="2:9" x14ac:dyDescent="0.2">
      <c r="B118" s="25" t="s">
        <v>293</v>
      </c>
      <c r="D118" s="26">
        <v>928710</v>
      </c>
      <c r="I118" s="26"/>
    </row>
    <row r="119" spans="2:9" x14ac:dyDescent="0.2">
      <c r="B119" s="25" t="s">
        <v>302</v>
      </c>
      <c r="D119" s="26">
        <f>+I60</f>
        <v>1025602.8540000003</v>
      </c>
      <c r="I119" s="26"/>
    </row>
    <row r="120" spans="2:9" ht="12.75" thickBot="1" x14ac:dyDescent="0.25">
      <c r="B120" s="25" t="s">
        <v>292</v>
      </c>
      <c r="D120" s="78">
        <f>+D118+D119</f>
        <v>1954312.8540000003</v>
      </c>
      <c r="I120" s="26"/>
    </row>
    <row r="121" spans="2:9" x14ac:dyDescent="0.2">
      <c r="I121" s="26"/>
    </row>
    <row r="122" spans="2:9" x14ac:dyDescent="0.2">
      <c r="I122" s="26"/>
    </row>
    <row r="123" spans="2:9" x14ac:dyDescent="0.2">
      <c r="I123" s="26"/>
    </row>
    <row r="124" spans="2:9" x14ac:dyDescent="0.2">
      <c r="I124" s="26"/>
    </row>
    <row r="125" spans="2:9" x14ac:dyDescent="0.2">
      <c r="I125" s="26"/>
    </row>
    <row r="126" spans="2:9" x14ac:dyDescent="0.2">
      <c r="I126" s="26"/>
    </row>
    <row r="127" spans="2:9" x14ac:dyDescent="0.2">
      <c r="I127" s="26"/>
    </row>
    <row r="128" spans="2:9" x14ac:dyDescent="0.2">
      <c r="I128" s="26"/>
    </row>
    <row r="129" spans="9:9" x14ac:dyDescent="0.2">
      <c r="I129" s="26"/>
    </row>
    <row r="130" spans="9:9" x14ac:dyDescent="0.2">
      <c r="I130" s="26"/>
    </row>
    <row r="131" spans="9:9" x14ac:dyDescent="0.2">
      <c r="I131" s="26"/>
    </row>
    <row r="132" spans="9:9" x14ac:dyDescent="0.2">
      <c r="I132" s="26"/>
    </row>
    <row r="133" spans="9:9" x14ac:dyDescent="0.2">
      <c r="I133" s="26"/>
    </row>
    <row r="134" spans="9:9" x14ac:dyDescent="0.2">
      <c r="I134" s="26"/>
    </row>
    <row r="135" spans="9:9" x14ac:dyDescent="0.2">
      <c r="I135" s="26"/>
    </row>
    <row r="136" spans="9:9" x14ac:dyDescent="0.2">
      <c r="I136" s="26"/>
    </row>
    <row r="137" spans="9:9" x14ac:dyDescent="0.2">
      <c r="I137" s="26"/>
    </row>
    <row r="138" spans="9:9" x14ac:dyDescent="0.2">
      <c r="I138" s="26"/>
    </row>
    <row r="139" spans="9:9" x14ac:dyDescent="0.2">
      <c r="I139" s="26"/>
    </row>
  </sheetData>
  <sortState xmlns:xlrd2="http://schemas.microsoft.com/office/spreadsheetml/2017/richdata2" ref="E83:I91">
    <sortCondition ref="E83:E91"/>
  </sortState>
  <mergeCells count="6">
    <mergeCell ref="F68:N68"/>
    <mergeCell ref="B1:G1"/>
    <mergeCell ref="I1:P1"/>
    <mergeCell ref="B3:E3"/>
    <mergeCell ref="I3:P3"/>
    <mergeCell ref="F62:N62"/>
  </mergeCells>
  <printOptions horizontalCentered="1"/>
  <pageMargins left="0" right="0" top="0" bottom="0" header="0.05" footer="0.05"/>
  <pageSetup paperSize="3" scale="59" orientation="landscape" r:id="rId1"/>
  <headerFooter>
    <oddHeader>&amp;L&amp;8&amp;D
&amp;T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23FF6-1C44-473E-BE0C-088D9454EE87}">
  <dimension ref="A2:N238"/>
  <sheetViews>
    <sheetView workbookViewId="0">
      <pane xSplit="1" ySplit="2" topLeftCell="B54" activePane="bottomRight" state="frozen"/>
      <selection pane="topRight" activeCell="B1" sqref="B1"/>
      <selection pane="bottomLeft" activeCell="A3" sqref="A3"/>
      <selection pane="bottomRight" activeCell="E61" sqref="A61:E61"/>
    </sheetView>
  </sheetViews>
  <sheetFormatPr defaultRowHeight="15" x14ac:dyDescent="0.25"/>
  <cols>
    <col min="1" max="1" width="67.85546875" bestFit="1" customWidth="1"/>
    <col min="2" max="5" width="20.7109375" customWidth="1"/>
    <col min="6" max="6" width="20.7109375" style="72" customWidth="1"/>
    <col min="7" max="7" width="20.7109375" customWidth="1"/>
    <col min="8" max="8" width="20.7109375" style="72" customWidth="1"/>
    <col min="12" max="12" width="11.5703125" bestFit="1" customWidth="1"/>
  </cols>
  <sheetData>
    <row r="2" spans="1:8" ht="45" x14ac:dyDescent="0.25">
      <c r="A2" s="16"/>
      <c r="B2" s="4" t="s">
        <v>0</v>
      </c>
      <c r="C2" s="4" t="s">
        <v>1</v>
      </c>
      <c r="D2" s="4" t="s">
        <v>217</v>
      </c>
      <c r="E2" s="4" t="s">
        <v>216</v>
      </c>
      <c r="F2" s="67" t="s">
        <v>215</v>
      </c>
      <c r="G2" s="4" t="s">
        <v>2</v>
      </c>
      <c r="H2" s="67" t="s">
        <v>3</v>
      </c>
    </row>
    <row r="3" spans="1:8" ht="20.100000000000001" customHeight="1" x14ac:dyDescent="0.25">
      <c r="A3" s="9" t="s">
        <v>4</v>
      </c>
      <c r="B3" s="1"/>
      <c r="C3" s="1"/>
      <c r="D3" s="1"/>
      <c r="E3" s="1"/>
      <c r="F3" s="68"/>
      <c r="G3" s="1"/>
      <c r="H3" s="68"/>
    </row>
    <row r="4" spans="1:8" ht="20.100000000000001" customHeight="1" x14ac:dyDescent="0.25">
      <c r="A4" s="10" t="s">
        <v>5</v>
      </c>
      <c r="B4" s="5">
        <f>+B5</f>
        <v>46614.15</v>
      </c>
      <c r="C4" s="5">
        <f>+C5</f>
        <v>68000</v>
      </c>
      <c r="D4" s="5">
        <f>+D5</f>
        <v>523318.44</v>
      </c>
      <c r="E4" s="5">
        <f>+E5</f>
        <v>357000</v>
      </c>
      <c r="F4" s="69">
        <f>+D4/E4</f>
        <v>1.4658779831932773</v>
      </c>
      <c r="G4" s="5">
        <f>+G5</f>
        <v>850000</v>
      </c>
      <c r="H4" s="69">
        <f>+D4/G4</f>
        <v>0.61566875294117651</v>
      </c>
    </row>
    <row r="5" spans="1:8" ht="20.100000000000001" customHeight="1" x14ac:dyDescent="0.25">
      <c r="A5" s="9" t="s">
        <v>6</v>
      </c>
      <c r="B5" s="6">
        <v>46614.15</v>
      </c>
      <c r="C5" s="6">
        <v>68000</v>
      </c>
      <c r="D5" s="6">
        <v>523318.44</v>
      </c>
      <c r="E5" s="6">
        <v>357000</v>
      </c>
      <c r="F5" s="70">
        <v>1.4658</v>
      </c>
      <c r="G5" s="6">
        <v>850000</v>
      </c>
      <c r="H5" s="70">
        <v>0.61560000000000004</v>
      </c>
    </row>
    <row r="6" spans="1:8" ht="20.100000000000001" customHeight="1" x14ac:dyDescent="0.25">
      <c r="A6" s="10" t="s">
        <v>7</v>
      </c>
      <c r="B6" s="5">
        <f t="shared" ref="B6:G6" si="0">+B7</f>
        <v>1110.5899999999999</v>
      </c>
      <c r="C6" s="5">
        <f t="shared" si="0"/>
        <v>1900</v>
      </c>
      <c r="D6" s="5">
        <f t="shared" si="0"/>
        <v>75166.960000000006</v>
      </c>
      <c r="E6" s="5">
        <f t="shared" si="0"/>
        <v>75300</v>
      </c>
      <c r="F6" s="69">
        <f>+D6/E6</f>
        <v>0.99823320053120856</v>
      </c>
      <c r="G6" s="5">
        <f t="shared" si="0"/>
        <v>825000</v>
      </c>
      <c r="H6" s="69">
        <f>+D6/G6</f>
        <v>9.1111466666666668E-2</v>
      </c>
    </row>
    <row r="7" spans="1:8" ht="20.100000000000001" customHeight="1" x14ac:dyDescent="0.25">
      <c r="A7" s="9" t="s">
        <v>8</v>
      </c>
      <c r="B7" s="6">
        <v>1110.5899999999999</v>
      </c>
      <c r="C7" s="6">
        <v>1900</v>
      </c>
      <c r="D7" s="6">
        <v>75166.960000000006</v>
      </c>
      <c r="E7" s="6">
        <v>75300</v>
      </c>
      <c r="F7" s="70">
        <v>0.99819999999999998</v>
      </c>
      <c r="G7" s="6">
        <v>825000</v>
      </c>
      <c r="H7" s="70">
        <v>9.11E-2</v>
      </c>
    </row>
    <row r="8" spans="1:8" ht="20.100000000000001" customHeight="1" x14ac:dyDescent="0.25">
      <c r="A8" s="10" t="s">
        <v>9</v>
      </c>
      <c r="B8" s="5">
        <f t="shared" ref="B8:G8" si="1">+B9</f>
        <v>125317.92</v>
      </c>
      <c r="C8" s="5">
        <f t="shared" si="1"/>
        <v>105550</v>
      </c>
      <c r="D8" s="5">
        <f t="shared" si="1"/>
        <v>271030.38</v>
      </c>
      <c r="E8" s="5">
        <f t="shared" si="1"/>
        <v>235200</v>
      </c>
      <c r="F8" s="69">
        <f>+D8/E8</f>
        <v>1.1523400510204083</v>
      </c>
      <c r="G8" s="5">
        <f t="shared" si="1"/>
        <v>475000</v>
      </c>
      <c r="H8" s="69">
        <f>+D8/G8</f>
        <v>0.57059027368421056</v>
      </c>
    </row>
    <row r="9" spans="1:8" ht="20.100000000000001" customHeight="1" x14ac:dyDescent="0.25">
      <c r="A9" s="9" t="s">
        <v>10</v>
      </c>
      <c r="B9" s="6">
        <v>125317.92</v>
      </c>
      <c r="C9" s="6">
        <v>105550</v>
      </c>
      <c r="D9" s="6">
        <v>271030.38</v>
      </c>
      <c r="E9" s="6">
        <v>235200</v>
      </c>
      <c r="F9" s="70">
        <v>1.1523000000000001</v>
      </c>
      <c r="G9" s="6">
        <v>475000</v>
      </c>
      <c r="H9" s="70">
        <v>0.57050000000000001</v>
      </c>
    </row>
    <row r="10" spans="1:8" ht="20.100000000000001" customHeight="1" x14ac:dyDescent="0.25">
      <c r="A10" s="10" t="s">
        <v>11</v>
      </c>
      <c r="B10" s="5">
        <f>SUM(B11:B13)</f>
        <v>15511</v>
      </c>
      <c r="C10" s="5">
        <f>SUM(C11:C13)</f>
        <v>17030</v>
      </c>
      <c r="D10" s="5">
        <f>SUM(D11:D13)</f>
        <v>606738.69999999995</v>
      </c>
      <c r="E10" s="5">
        <f>SUM(E11:E13)</f>
        <v>581900</v>
      </c>
      <c r="F10" s="69">
        <f>+D10/E10</f>
        <v>1.0426855129747379</v>
      </c>
      <c r="G10" s="5">
        <f>SUM(G11:G13)</f>
        <v>629826</v>
      </c>
      <c r="H10" s="69">
        <f>+D10/G10</f>
        <v>0.96334336785080321</v>
      </c>
    </row>
    <row r="11" spans="1:8" ht="20.100000000000001" customHeight="1" x14ac:dyDescent="0.25">
      <c r="A11" s="9" t="s">
        <v>12</v>
      </c>
      <c r="B11" s="6">
        <v>500</v>
      </c>
      <c r="C11" s="6">
        <v>0</v>
      </c>
      <c r="D11" s="6">
        <v>1100</v>
      </c>
      <c r="E11" s="6">
        <v>0</v>
      </c>
      <c r="F11" s="70">
        <v>11</v>
      </c>
      <c r="G11" s="6">
        <v>0</v>
      </c>
      <c r="H11" s="70">
        <v>11</v>
      </c>
    </row>
    <row r="12" spans="1:8" ht="20.100000000000001" customHeight="1" x14ac:dyDescent="0.25">
      <c r="A12" s="9" t="s">
        <v>13</v>
      </c>
      <c r="B12" s="7">
        <v>4328</v>
      </c>
      <c r="C12" s="7">
        <v>8000</v>
      </c>
      <c r="D12" s="7">
        <v>180015</v>
      </c>
      <c r="E12" s="7">
        <v>173750</v>
      </c>
      <c r="F12" s="71">
        <v>1.036</v>
      </c>
      <c r="G12" s="7">
        <v>178446</v>
      </c>
      <c r="H12" s="71">
        <v>1.0086999999999999</v>
      </c>
    </row>
    <row r="13" spans="1:8" ht="20.100000000000001" customHeight="1" x14ac:dyDescent="0.25">
      <c r="A13" s="9" t="s">
        <v>14</v>
      </c>
      <c r="B13" s="6">
        <v>10683</v>
      </c>
      <c r="C13" s="6">
        <v>9030</v>
      </c>
      <c r="D13" s="6">
        <v>425623.7</v>
      </c>
      <c r="E13" s="6">
        <v>408150</v>
      </c>
      <c r="F13" s="70">
        <v>1.0427999999999999</v>
      </c>
      <c r="G13" s="6">
        <v>451380</v>
      </c>
      <c r="H13" s="70">
        <v>0.94289999999999996</v>
      </c>
    </row>
    <row r="14" spans="1:8" ht="20.100000000000001" customHeight="1" x14ac:dyDescent="0.25">
      <c r="A14" s="10" t="s">
        <v>15</v>
      </c>
      <c r="B14" s="5">
        <f>SUM(B15:B17)</f>
        <v>785407.41</v>
      </c>
      <c r="C14" s="5">
        <f>SUM(C15:C17)</f>
        <v>402978</v>
      </c>
      <c r="D14" s="5">
        <f>SUM(D15:D17)</f>
        <v>1811954.22</v>
      </c>
      <c r="E14" s="5">
        <f>SUM(E15:E17)</f>
        <v>1874364</v>
      </c>
      <c r="F14" s="69">
        <f>+D14/E14</f>
        <v>0.96670348982374821</v>
      </c>
      <c r="G14" s="5">
        <f>SUM(G15:G17)</f>
        <v>2087740</v>
      </c>
      <c r="H14" s="69">
        <f>+D14/G14</f>
        <v>0.86790223878452299</v>
      </c>
    </row>
    <row r="15" spans="1:8" ht="20.100000000000001" customHeight="1" x14ac:dyDescent="0.25">
      <c r="A15" s="9" t="s">
        <v>16</v>
      </c>
      <c r="B15" s="6">
        <v>3150</v>
      </c>
      <c r="C15" s="6">
        <v>0</v>
      </c>
      <c r="D15" s="6">
        <v>492907.05</v>
      </c>
      <c r="E15" s="6">
        <v>480000</v>
      </c>
      <c r="F15" s="70">
        <v>1.0267999999999999</v>
      </c>
      <c r="G15" s="6">
        <v>480000</v>
      </c>
      <c r="H15" s="70">
        <v>1.0267999999999999</v>
      </c>
    </row>
    <row r="16" spans="1:8" ht="20.100000000000001" customHeight="1" x14ac:dyDescent="0.25">
      <c r="A16" s="9" t="s">
        <v>17</v>
      </c>
      <c r="B16" s="7">
        <f>103277.18+55194.46</f>
        <v>158471.63999999998</v>
      </c>
      <c r="C16" s="7">
        <v>88000</v>
      </c>
      <c r="D16" s="7">
        <f>222087.8+55194.46</f>
        <v>277282.26</v>
      </c>
      <c r="E16" s="7">
        <v>286000</v>
      </c>
      <c r="F16" s="71">
        <v>0.77649999999999997</v>
      </c>
      <c r="G16" s="7">
        <v>322740</v>
      </c>
      <c r="H16" s="71">
        <v>0.68810000000000004</v>
      </c>
    </row>
    <row r="17" spans="1:12" ht="20.100000000000001" customHeight="1" x14ac:dyDescent="0.25">
      <c r="A17" s="9" t="s">
        <v>18</v>
      </c>
      <c r="B17" s="6">
        <f>336203.23+287582.54</f>
        <v>623785.77</v>
      </c>
      <c r="C17" s="6">
        <v>314978</v>
      </c>
      <c r="D17" s="6">
        <f>754182.37+287582.54</f>
        <v>1041764.9099999999</v>
      </c>
      <c r="E17" s="6">
        <v>1108364</v>
      </c>
      <c r="F17" s="70">
        <v>0.6804</v>
      </c>
      <c r="G17" s="6">
        <v>1285000</v>
      </c>
      <c r="H17" s="70">
        <v>0.58689999999999998</v>
      </c>
    </row>
    <row r="18" spans="1:12" ht="20.100000000000001" customHeight="1" x14ac:dyDescent="0.25">
      <c r="A18" s="10" t="s">
        <v>19</v>
      </c>
      <c r="B18" s="5">
        <f t="shared" ref="B18" si="2">+B19</f>
        <v>61973.7</v>
      </c>
      <c r="C18" s="5">
        <f t="shared" ref="C18" si="3">+C19</f>
        <v>19000</v>
      </c>
      <c r="D18" s="5">
        <f t="shared" ref="D18" si="4">+D19</f>
        <v>310704.03000000003</v>
      </c>
      <c r="E18" s="5">
        <f t="shared" ref="E18" si="5">+E19</f>
        <v>160225</v>
      </c>
      <c r="F18" s="69">
        <f>+D18/E18</f>
        <v>1.9391732251521301</v>
      </c>
      <c r="G18" s="5">
        <f t="shared" ref="G18" si="6">+G19</f>
        <v>500000</v>
      </c>
      <c r="H18" s="69">
        <f>+D18/G18</f>
        <v>0.62140806000000004</v>
      </c>
    </row>
    <row r="19" spans="1:12" ht="20.100000000000001" customHeight="1" x14ac:dyDescent="0.25">
      <c r="A19" s="9" t="s">
        <v>20</v>
      </c>
      <c r="B19" s="6">
        <v>61973.7</v>
      </c>
      <c r="C19" s="6">
        <v>19000</v>
      </c>
      <c r="D19" s="6">
        <v>310704.03000000003</v>
      </c>
      <c r="E19" s="6">
        <v>160225</v>
      </c>
      <c r="F19" s="70">
        <v>1.9391</v>
      </c>
      <c r="G19" s="6">
        <v>500000</v>
      </c>
      <c r="H19" s="70">
        <v>0.62139999999999995</v>
      </c>
      <c r="L19" s="64"/>
    </row>
    <row r="20" spans="1:12" ht="20.100000000000001" customHeight="1" x14ac:dyDescent="0.25">
      <c r="A20" s="10" t="s">
        <v>21</v>
      </c>
      <c r="B20" s="5">
        <f>SUM(B21:B25)</f>
        <v>141364.29999999999</v>
      </c>
      <c r="C20" s="5">
        <f t="shared" ref="C20:G20" si="7">SUM(C21:C25)</f>
        <v>89550</v>
      </c>
      <c r="D20" s="5">
        <f t="shared" si="7"/>
        <v>466109.58999999997</v>
      </c>
      <c r="E20" s="5">
        <f t="shared" si="7"/>
        <v>295725</v>
      </c>
      <c r="F20" s="69">
        <f>+D20/E20</f>
        <v>1.576158897624482</v>
      </c>
      <c r="G20" s="5">
        <f t="shared" si="7"/>
        <v>514500</v>
      </c>
      <c r="H20" s="69">
        <f>+D20/G20</f>
        <v>0.9059467249757045</v>
      </c>
    </row>
    <row r="21" spans="1:12" ht="20.100000000000001" customHeight="1" x14ac:dyDescent="0.25">
      <c r="A21" s="9" t="s">
        <v>22</v>
      </c>
      <c r="B21" s="6">
        <v>115179.42</v>
      </c>
      <c r="C21" s="6">
        <v>80000</v>
      </c>
      <c r="D21" s="6">
        <v>379827.41</v>
      </c>
      <c r="E21" s="6">
        <v>248000</v>
      </c>
      <c r="F21" s="70">
        <v>1.5315000000000001</v>
      </c>
      <c r="G21" s="6">
        <v>400000</v>
      </c>
      <c r="H21" s="70">
        <v>0.94950000000000001</v>
      </c>
    </row>
    <row r="22" spans="1:12" ht="20.100000000000001" customHeight="1" x14ac:dyDescent="0.25">
      <c r="A22" s="9" t="s">
        <v>23</v>
      </c>
      <c r="B22" s="7">
        <v>384.75</v>
      </c>
      <c r="C22" s="7">
        <v>0</v>
      </c>
      <c r="D22" s="7">
        <v>6479.75</v>
      </c>
      <c r="E22" s="7">
        <v>0</v>
      </c>
      <c r="F22" s="71">
        <v>64.797499999999999</v>
      </c>
      <c r="G22" s="7">
        <v>0</v>
      </c>
      <c r="H22" s="71">
        <v>64.797499999999999</v>
      </c>
    </row>
    <row r="23" spans="1:12" ht="20.100000000000001" customHeight="1" x14ac:dyDescent="0.25">
      <c r="A23" s="9" t="s">
        <v>24</v>
      </c>
      <c r="B23" s="6">
        <v>20436.29</v>
      </c>
      <c r="C23" s="6">
        <v>6675</v>
      </c>
      <c r="D23" s="6">
        <v>59407.07</v>
      </c>
      <c r="E23" s="6">
        <v>33350</v>
      </c>
      <c r="F23" s="70">
        <v>1.7813000000000001</v>
      </c>
      <c r="G23" s="6">
        <v>80000</v>
      </c>
      <c r="H23" s="70">
        <v>0.74250000000000005</v>
      </c>
    </row>
    <row r="24" spans="1:12" ht="20.100000000000001" customHeight="1" x14ac:dyDescent="0.25">
      <c r="A24" s="9" t="s">
        <v>25</v>
      </c>
      <c r="B24" s="7">
        <v>3178</v>
      </c>
      <c r="C24" s="7">
        <v>2500</v>
      </c>
      <c r="D24" s="7">
        <v>12807.68</v>
      </c>
      <c r="E24" s="7">
        <v>12500</v>
      </c>
      <c r="F24" s="71">
        <v>1.0246</v>
      </c>
      <c r="G24" s="7">
        <v>30000</v>
      </c>
      <c r="H24" s="71">
        <v>0.4269</v>
      </c>
    </row>
    <row r="25" spans="1:12" ht="20.100000000000001" customHeight="1" x14ac:dyDescent="0.25">
      <c r="A25" s="9" t="s">
        <v>26</v>
      </c>
      <c r="B25" s="6">
        <v>2185.84</v>
      </c>
      <c r="C25" s="6">
        <v>375</v>
      </c>
      <c r="D25" s="6">
        <v>7587.68</v>
      </c>
      <c r="E25" s="6">
        <v>1875</v>
      </c>
      <c r="F25" s="70">
        <v>4.0467000000000004</v>
      </c>
      <c r="G25" s="6">
        <v>4500</v>
      </c>
      <c r="H25" s="70">
        <v>1.6860999999999999</v>
      </c>
    </row>
    <row r="26" spans="1:12" ht="20.100000000000001" customHeight="1" x14ac:dyDescent="0.25">
      <c r="A26" s="10" t="s">
        <v>27</v>
      </c>
      <c r="B26" s="5">
        <f>SUM(B27:B44)</f>
        <v>159577.22</v>
      </c>
      <c r="C26" s="5">
        <f>SUM(C27:C44)</f>
        <v>97065</v>
      </c>
      <c r="D26" s="5">
        <f>SUM(D27:D44)</f>
        <v>1702126.74</v>
      </c>
      <c r="E26" s="5">
        <f>SUM(E27:E44)</f>
        <v>424375</v>
      </c>
      <c r="F26" s="69">
        <f>+D26/E26</f>
        <v>4.0109024801178199</v>
      </c>
      <c r="G26" s="5">
        <f>SUM(G27:G44)</f>
        <v>774500</v>
      </c>
      <c r="H26" s="69">
        <f>+D26/G26</f>
        <v>2.1977104454486764</v>
      </c>
    </row>
    <row r="27" spans="1:12" ht="20.100000000000001" customHeight="1" x14ac:dyDescent="0.25">
      <c r="A27" s="9" t="s">
        <v>28</v>
      </c>
      <c r="B27" s="6">
        <v>12331.17</v>
      </c>
      <c r="C27" s="6">
        <v>12500</v>
      </c>
      <c r="D27" s="6">
        <v>23368.51</v>
      </c>
      <c r="E27" s="6">
        <v>25000</v>
      </c>
      <c r="F27" s="70">
        <v>0.93469999999999998</v>
      </c>
      <c r="G27" s="6">
        <v>50000</v>
      </c>
      <c r="H27" s="70">
        <v>0.46729999999999999</v>
      </c>
    </row>
    <row r="28" spans="1:12" ht="20.100000000000001" customHeight="1" x14ac:dyDescent="0.25">
      <c r="A28" s="9" t="s">
        <v>29</v>
      </c>
      <c r="B28" s="7">
        <v>42500</v>
      </c>
      <c r="C28" s="7">
        <v>42500</v>
      </c>
      <c r="D28" s="7">
        <v>85000</v>
      </c>
      <c r="E28" s="7">
        <v>85000</v>
      </c>
      <c r="F28" s="71">
        <v>1</v>
      </c>
      <c r="G28" s="7">
        <v>85000</v>
      </c>
      <c r="H28" s="71">
        <v>1</v>
      </c>
    </row>
    <row r="29" spans="1:12" ht="20.100000000000001" customHeight="1" x14ac:dyDescent="0.25">
      <c r="A29" s="9" t="s">
        <v>30</v>
      </c>
      <c r="B29" s="6">
        <v>1500</v>
      </c>
      <c r="C29" s="6">
        <v>1650</v>
      </c>
      <c r="D29" s="6">
        <v>13050</v>
      </c>
      <c r="E29" s="6">
        <v>8300</v>
      </c>
      <c r="F29" s="70">
        <v>1.5722</v>
      </c>
      <c r="G29" s="6">
        <v>20000</v>
      </c>
      <c r="H29" s="70">
        <v>0.65249999999999997</v>
      </c>
    </row>
    <row r="30" spans="1:12" ht="20.100000000000001" customHeight="1" x14ac:dyDescent="0.25">
      <c r="A30" s="9" t="s">
        <v>31</v>
      </c>
      <c r="B30" s="7">
        <v>12350</v>
      </c>
      <c r="C30" s="7">
        <v>5300</v>
      </c>
      <c r="D30" s="7">
        <v>52020</v>
      </c>
      <c r="E30" s="7">
        <v>53000</v>
      </c>
      <c r="F30" s="71">
        <v>0.98150000000000004</v>
      </c>
      <c r="G30" s="7">
        <v>53000</v>
      </c>
      <c r="H30" s="71">
        <v>0.98150000000000004</v>
      </c>
    </row>
    <row r="31" spans="1:12" ht="20.100000000000001" customHeight="1" x14ac:dyDescent="0.25">
      <c r="A31" s="9" t="s">
        <v>32</v>
      </c>
      <c r="B31" s="6">
        <v>10629.3</v>
      </c>
      <c r="C31" s="6">
        <v>4700</v>
      </c>
      <c r="D31" s="6">
        <v>47558.17</v>
      </c>
      <c r="E31" s="6">
        <v>23500</v>
      </c>
      <c r="F31" s="70">
        <v>2.0236999999999998</v>
      </c>
      <c r="G31" s="6">
        <v>56500</v>
      </c>
      <c r="H31" s="70">
        <v>0.8417</v>
      </c>
    </row>
    <row r="32" spans="1:12" ht="20.100000000000001" customHeight="1" x14ac:dyDescent="0.25">
      <c r="A32" s="9" t="s">
        <v>33</v>
      </c>
      <c r="B32" s="7">
        <v>0</v>
      </c>
      <c r="C32" s="7">
        <v>0</v>
      </c>
      <c r="D32" s="7">
        <v>23.55</v>
      </c>
      <c r="E32" s="7">
        <v>0</v>
      </c>
      <c r="F32" s="71">
        <v>0.23549999999999999</v>
      </c>
      <c r="G32" s="7">
        <v>0</v>
      </c>
      <c r="H32" s="71">
        <v>0.23549999999999999</v>
      </c>
    </row>
    <row r="33" spans="1:14" ht="20.100000000000001" customHeight="1" x14ac:dyDescent="0.25">
      <c r="A33" s="9" t="s">
        <v>34</v>
      </c>
      <c r="B33" s="6">
        <v>2000</v>
      </c>
      <c r="C33" s="6">
        <v>125</v>
      </c>
      <c r="D33" s="6">
        <v>4500</v>
      </c>
      <c r="E33" s="6">
        <v>625</v>
      </c>
      <c r="F33" s="70">
        <v>7.2</v>
      </c>
      <c r="G33" s="6">
        <v>1500</v>
      </c>
      <c r="H33" s="70">
        <v>3</v>
      </c>
      <c r="J33" t="s">
        <v>284</v>
      </c>
      <c r="K33" t="s">
        <v>285</v>
      </c>
      <c r="L33" t="s">
        <v>286</v>
      </c>
      <c r="M33" t="s">
        <v>286</v>
      </c>
      <c r="N33" t="s">
        <v>284</v>
      </c>
    </row>
    <row r="34" spans="1:14" ht="20.100000000000001" customHeight="1" x14ac:dyDescent="0.25">
      <c r="A34" s="17" t="s">
        <v>282</v>
      </c>
      <c r="B34" s="18">
        <v>15440.17</v>
      </c>
      <c r="C34" s="18">
        <f>25000*0.4</f>
        <v>10000</v>
      </c>
      <c r="D34" s="18">
        <f>SUM(J34:N34)</f>
        <v>60167.61</v>
      </c>
      <c r="E34" s="7">
        <f>125000*0.4</f>
        <v>50000</v>
      </c>
      <c r="F34" s="71">
        <v>1.1524000000000001</v>
      </c>
      <c r="G34" s="7">
        <f>300000*0.4</f>
        <v>120000</v>
      </c>
      <c r="H34" s="71">
        <v>0.48010000000000003</v>
      </c>
      <c r="J34">
        <v>5249.48</v>
      </c>
      <c r="K34">
        <v>9242.65</v>
      </c>
      <c r="L34">
        <v>14845.45</v>
      </c>
      <c r="M34">
        <v>15389.86</v>
      </c>
      <c r="N34">
        <v>15440.17</v>
      </c>
    </row>
    <row r="35" spans="1:14" ht="20.100000000000001" customHeight="1" x14ac:dyDescent="0.25">
      <c r="A35" s="9" t="s">
        <v>283</v>
      </c>
      <c r="B35" s="7">
        <f>29119.04-B34</f>
        <v>13678.87</v>
      </c>
      <c r="C35" s="7">
        <f>25000*0.6</f>
        <v>15000</v>
      </c>
      <c r="D35" s="7">
        <f>144054.91-D34</f>
        <v>83887.3</v>
      </c>
      <c r="E35" s="7">
        <f>125000*0.6</f>
        <v>75000</v>
      </c>
      <c r="F35" s="71">
        <v>1.1524000000000001</v>
      </c>
      <c r="G35" s="7">
        <f>300000*0.6</f>
        <v>180000</v>
      </c>
      <c r="H35" s="71">
        <v>0.48010000000000003</v>
      </c>
    </row>
    <row r="36" spans="1:14" ht="20.100000000000001" customHeight="1" x14ac:dyDescent="0.25">
      <c r="A36" s="17" t="s">
        <v>35</v>
      </c>
      <c r="B36" s="18">
        <v>30</v>
      </c>
      <c r="C36" s="18">
        <v>0</v>
      </c>
      <c r="D36" s="18">
        <v>2240</v>
      </c>
      <c r="E36" s="6">
        <v>0</v>
      </c>
      <c r="F36" s="70">
        <v>22.4</v>
      </c>
      <c r="G36" s="6">
        <v>0</v>
      </c>
      <c r="H36" s="70">
        <v>22.4</v>
      </c>
    </row>
    <row r="37" spans="1:14" ht="20.100000000000001" customHeight="1" x14ac:dyDescent="0.25">
      <c r="A37" s="17" t="s">
        <v>36</v>
      </c>
      <c r="B37" s="18">
        <v>0</v>
      </c>
      <c r="C37" s="18">
        <v>0</v>
      </c>
      <c r="D37" s="18">
        <v>6000</v>
      </c>
      <c r="E37" s="7">
        <v>0</v>
      </c>
      <c r="F37" s="71">
        <v>60</v>
      </c>
      <c r="G37" s="7">
        <v>0</v>
      </c>
      <c r="H37" s="71">
        <v>60</v>
      </c>
    </row>
    <row r="38" spans="1:14" ht="20.100000000000001" customHeight="1" x14ac:dyDescent="0.25">
      <c r="A38" s="9" t="s">
        <v>37</v>
      </c>
      <c r="B38" s="6">
        <v>200</v>
      </c>
      <c r="C38" s="6">
        <v>80</v>
      </c>
      <c r="D38" s="6">
        <v>675</v>
      </c>
      <c r="E38" s="6">
        <v>410</v>
      </c>
      <c r="F38" s="70">
        <v>1.6463000000000001</v>
      </c>
      <c r="G38" s="6">
        <v>1000</v>
      </c>
      <c r="H38" s="70">
        <v>0.67500000000000004</v>
      </c>
    </row>
    <row r="39" spans="1:14" ht="20.100000000000001" customHeight="1" x14ac:dyDescent="0.25">
      <c r="A39" s="9" t="s">
        <v>38</v>
      </c>
      <c r="B39" s="7">
        <v>15520</v>
      </c>
      <c r="C39" s="7">
        <v>5000</v>
      </c>
      <c r="D39" s="7">
        <v>17480</v>
      </c>
      <c r="E39" s="7">
        <v>55000</v>
      </c>
      <c r="F39" s="71">
        <v>0.31780000000000003</v>
      </c>
      <c r="G39" s="7">
        <v>60000</v>
      </c>
      <c r="H39" s="71">
        <v>0.2913</v>
      </c>
    </row>
    <row r="40" spans="1:14" ht="20.100000000000001" customHeight="1" x14ac:dyDescent="0.25">
      <c r="A40" s="9" t="s">
        <v>39</v>
      </c>
      <c r="B40" s="6">
        <v>3545.66</v>
      </c>
      <c r="C40" s="6">
        <v>0</v>
      </c>
      <c r="D40" s="6">
        <v>11992.98</v>
      </c>
      <c r="E40" s="6">
        <v>0</v>
      </c>
      <c r="F40" s="70">
        <v>119.9298</v>
      </c>
      <c r="G40" s="6">
        <v>0</v>
      </c>
      <c r="H40" s="70">
        <v>119.9298</v>
      </c>
    </row>
    <row r="41" spans="1:14" ht="20.100000000000001" customHeight="1" x14ac:dyDescent="0.25">
      <c r="A41" s="9" t="s">
        <v>40</v>
      </c>
      <c r="B41" s="7">
        <v>0</v>
      </c>
      <c r="C41" s="7">
        <v>0</v>
      </c>
      <c r="D41" s="7">
        <v>59009.64</v>
      </c>
      <c r="E41" s="7">
        <v>47500</v>
      </c>
      <c r="F41" s="71">
        <v>1.2423</v>
      </c>
      <c r="G41" s="7">
        <v>95000</v>
      </c>
      <c r="H41" s="71">
        <v>0.62109999999999999</v>
      </c>
    </row>
    <row r="42" spans="1:14" ht="20.100000000000001" customHeight="1" x14ac:dyDescent="0.25">
      <c r="A42" s="17" t="s">
        <v>41</v>
      </c>
      <c r="B42" s="18">
        <v>29852.05</v>
      </c>
      <c r="C42" s="18">
        <v>210</v>
      </c>
      <c r="D42" s="18">
        <v>96598.43</v>
      </c>
      <c r="E42" s="6">
        <v>1040</v>
      </c>
      <c r="F42" s="70">
        <v>92.883099999999999</v>
      </c>
      <c r="G42" s="6">
        <v>2500</v>
      </c>
      <c r="H42" s="70">
        <v>38.639299999999999</v>
      </c>
    </row>
    <row r="43" spans="1:14" ht="20.100000000000001" customHeight="1" x14ac:dyDescent="0.25">
      <c r="A43" s="17" t="s">
        <v>42</v>
      </c>
      <c r="B43" s="18">
        <v>0</v>
      </c>
      <c r="C43" s="18">
        <v>0</v>
      </c>
      <c r="D43" s="18">
        <v>1138555.55</v>
      </c>
      <c r="E43" s="7">
        <v>0</v>
      </c>
      <c r="F43" s="71">
        <v>11385.5555</v>
      </c>
      <c r="G43" s="7">
        <v>0</v>
      </c>
      <c r="H43" s="71">
        <v>11385.5555</v>
      </c>
    </row>
    <row r="44" spans="1:14" ht="20.100000000000001" customHeight="1" x14ac:dyDescent="0.25">
      <c r="A44" s="9" t="s">
        <v>43</v>
      </c>
      <c r="B44" s="6">
        <v>0</v>
      </c>
      <c r="C44" s="6">
        <v>0</v>
      </c>
      <c r="D44" s="6">
        <v>0</v>
      </c>
      <c r="E44" s="6">
        <v>0</v>
      </c>
      <c r="F44" s="70">
        <v>0</v>
      </c>
      <c r="G44" s="6">
        <v>50000</v>
      </c>
      <c r="H44" s="70">
        <v>0</v>
      </c>
    </row>
    <row r="45" spans="1:14" ht="20.100000000000001" customHeight="1" x14ac:dyDescent="0.25">
      <c r="A45" s="14" t="s">
        <v>44</v>
      </c>
      <c r="B45" s="8">
        <f>+B26+B20+B18+B14+B10+B8+B6+B4</f>
        <v>1336876.29</v>
      </c>
      <c r="C45" s="8">
        <f>+C26+C20+C18+C14+C10+C8+C6+C4</f>
        <v>801073</v>
      </c>
      <c r="D45" s="8">
        <f>+D26+D20+D18+D14+D10+D8+D6+D4</f>
        <v>5767149.0600000005</v>
      </c>
      <c r="E45" s="8">
        <f>+E26+E20+E18+E14+E10+E8+E6+E4</f>
        <v>4004089</v>
      </c>
      <c r="F45" s="66">
        <f>+E45/G45</f>
        <v>0.60152472010342872</v>
      </c>
      <c r="G45" s="8">
        <f>+G26+G20+G18+G14+G10+G8+G6+G4</f>
        <v>6656566</v>
      </c>
      <c r="H45" s="66">
        <f>+D45/G45</f>
        <v>0.86638501894219944</v>
      </c>
      <c r="J45" s="65"/>
    </row>
    <row r="46" spans="1:14" ht="20.100000000000001" customHeight="1" x14ac:dyDescent="0.25">
      <c r="B46" s="65"/>
    </row>
    <row r="47" spans="1:14" ht="20.100000000000001" customHeight="1" x14ac:dyDescent="0.25"/>
    <row r="48" spans="1:14" s="2" customFormat="1" ht="45" x14ac:dyDescent="0.25">
      <c r="A48" s="16"/>
      <c r="B48" s="4" t="s">
        <v>45</v>
      </c>
      <c r="C48" s="4" t="s">
        <v>1</v>
      </c>
      <c r="D48" s="4" t="s">
        <v>46</v>
      </c>
      <c r="E48" s="4" t="s">
        <v>47</v>
      </c>
      <c r="F48" s="67" t="s">
        <v>48</v>
      </c>
      <c r="G48" s="4" t="s">
        <v>49</v>
      </c>
      <c r="H48" s="67" t="s">
        <v>50</v>
      </c>
    </row>
    <row r="49" spans="1:8" ht="20.100000000000001" customHeight="1" x14ac:dyDescent="0.25">
      <c r="A49" s="9" t="s">
        <v>51</v>
      </c>
      <c r="B49" s="1"/>
      <c r="C49" s="1"/>
      <c r="D49" s="1"/>
      <c r="E49" s="1"/>
      <c r="F49" s="68"/>
      <c r="G49" s="1"/>
      <c r="H49" s="68"/>
    </row>
    <row r="50" spans="1:8" ht="20.100000000000001" customHeight="1" x14ac:dyDescent="0.25">
      <c r="A50" s="10" t="s">
        <v>52</v>
      </c>
      <c r="B50" s="11">
        <f>SUM(B52:B90)</f>
        <v>100757.04</v>
      </c>
      <c r="C50" s="11">
        <f>SUM(C52:C90)</f>
        <v>96966</v>
      </c>
      <c r="D50" s="11">
        <f>SUM(D52:D90)</f>
        <v>1067482.3999999999</v>
      </c>
      <c r="E50" s="11">
        <f>SUM(E52:E90)</f>
        <v>368777</v>
      </c>
      <c r="F50" s="69">
        <f>+D50/E50</f>
        <v>2.8946555777610858</v>
      </c>
      <c r="G50" s="11">
        <f>SUM(G52:G90)</f>
        <v>829400</v>
      </c>
      <c r="H50" s="69">
        <f>+D50/G50</f>
        <v>1.2870537738123944</v>
      </c>
    </row>
    <row r="51" spans="1:8" ht="20.100000000000001" customHeight="1" x14ac:dyDescent="0.25">
      <c r="A51" s="9" t="s">
        <v>53</v>
      </c>
      <c r="B51" s="1"/>
      <c r="C51" s="1"/>
      <c r="D51" s="1"/>
      <c r="E51" s="1"/>
      <c r="F51" s="68"/>
      <c r="G51" s="1"/>
      <c r="H51" s="68"/>
    </row>
    <row r="52" spans="1:8" ht="20.100000000000001" customHeight="1" x14ac:dyDescent="0.25">
      <c r="A52" s="9" t="s">
        <v>54</v>
      </c>
      <c r="B52" s="12">
        <v>1832.05</v>
      </c>
      <c r="C52" s="12">
        <v>3015</v>
      </c>
      <c r="D52" s="12">
        <v>11026.68</v>
      </c>
      <c r="E52" s="12">
        <v>15240</v>
      </c>
      <c r="F52" s="73">
        <v>0.72350000000000003</v>
      </c>
      <c r="G52" s="12">
        <v>36500</v>
      </c>
      <c r="H52" s="73">
        <v>0.30209999999999998</v>
      </c>
    </row>
    <row r="53" spans="1:8" ht="20.100000000000001" customHeight="1" x14ac:dyDescent="0.25">
      <c r="A53" s="17" t="s">
        <v>55</v>
      </c>
      <c r="B53" s="19">
        <v>28589.17</v>
      </c>
      <c r="C53" s="19">
        <v>0</v>
      </c>
      <c r="D53" s="19">
        <v>28589.17</v>
      </c>
      <c r="E53" s="19">
        <v>0</v>
      </c>
      <c r="F53" s="73">
        <v>285.89170000000001</v>
      </c>
      <c r="G53" s="12">
        <v>0</v>
      </c>
      <c r="H53" s="73">
        <v>285.89170000000001</v>
      </c>
    </row>
    <row r="54" spans="1:8" ht="20.100000000000001" customHeight="1" x14ac:dyDescent="0.25">
      <c r="A54" s="9" t="s">
        <v>56</v>
      </c>
      <c r="B54" s="13">
        <v>150</v>
      </c>
      <c r="C54" s="13">
        <v>0</v>
      </c>
      <c r="D54" s="13">
        <v>700</v>
      </c>
      <c r="E54" s="13">
        <v>0</v>
      </c>
      <c r="F54" s="74">
        <v>7</v>
      </c>
      <c r="G54" s="13">
        <v>0</v>
      </c>
      <c r="H54" s="74">
        <v>7</v>
      </c>
    </row>
    <row r="55" spans="1:8" ht="20.100000000000001" customHeight="1" x14ac:dyDescent="0.25">
      <c r="A55" s="9" t="s">
        <v>57</v>
      </c>
      <c r="B55" s="12">
        <v>0</v>
      </c>
      <c r="C55" s="12">
        <v>1000</v>
      </c>
      <c r="D55" s="12">
        <v>0</v>
      </c>
      <c r="E55" s="12">
        <v>1500</v>
      </c>
      <c r="F55" s="73">
        <v>0</v>
      </c>
      <c r="G55" s="12">
        <v>5000</v>
      </c>
      <c r="H55" s="73">
        <v>0</v>
      </c>
    </row>
    <row r="56" spans="1:8" ht="20.100000000000001" customHeight="1" x14ac:dyDescent="0.25">
      <c r="A56" s="9" t="s">
        <v>58</v>
      </c>
      <c r="B56" s="13">
        <v>0</v>
      </c>
      <c r="C56" s="13">
        <v>0</v>
      </c>
      <c r="D56" s="13">
        <v>0</v>
      </c>
      <c r="E56" s="13">
        <v>0</v>
      </c>
      <c r="F56" s="74">
        <v>0</v>
      </c>
      <c r="G56" s="13">
        <v>15000</v>
      </c>
      <c r="H56" s="74">
        <v>0</v>
      </c>
    </row>
    <row r="57" spans="1:8" ht="20.100000000000001" customHeight="1" x14ac:dyDescent="0.25">
      <c r="A57" s="9" t="s">
        <v>59</v>
      </c>
      <c r="B57" s="12">
        <v>0</v>
      </c>
      <c r="C57" s="12">
        <v>835</v>
      </c>
      <c r="D57" s="12">
        <v>6335</v>
      </c>
      <c r="E57" s="12">
        <v>4170</v>
      </c>
      <c r="F57" s="73">
        <v>1.5190999999999999</v>
      </c>
      <c r="G57" s="12">
        <v>10000</v>
      </c>
      <c r="H57" s="73">
        <v>0.63349999999999995</v>
      </c>
    </row>
    <row r="58" spans="1:8" ht="20.100000000000001" customHeight="1" x14ac:dyDescent="0.25">
      <c r="A58" s="9" t="s">
        <v>60</v>
      </c>
      <c r="B58" s="13">
        <v>4537.5</v>
      </c>
      <c r="C58" s="13">
        <v>5825</v>
      </c>
      <c r="D58" s="13">
        <v>42355</v>
      </c>
      <c r="E58" s="13">
        <v>29175</v>
      </c>
      <c r="F58" s="74">
        <v>1.4517</v>
      </c>
      <c r="G58" s="13">
        <v>70000</v>
      </c>
      <c r="H58" s="74">
        <v>0.60499999999999998</v>
      </c>
    </row>
    <row r="59" spans="1:8" ht="20.100000000000001" customHeight="1" x14ac:dyDescent="0.25">
      <c r="A59" s="9" t="s">
        <v>61</v>
      </c>
      <c r="B59" s="12">
        <v>1150</v>
      </c>
      <c r="C59" s="12">
        <v>33750</v>
      </c>
      <c r="D59" s="12">
        <v>40125</v>
      </c>
      <c r="E59" s="12">
        <v>67500</v>
      </c>
      <c r="F59" s="73">
        <v>0.59440000000000004</v>
      </c>
      <c r="G59" s="12">
        <v>67500</v>
      </c>
      <c r="H59" s="73">
        <v>0.59440000000000004</v>
      </c>
    </row>
    <row r="60" spans="1:8" ht="20.100000000000001" customHeight="1" x14ac:dyDescent="0.25">
      <c r="A60" s="9" t="s">
        <v>62</v>
      </c>
      <c r="B60" s="13">
        <v>201.98</v>
      </c>
      <c r="C60" s="13">
        <v>250</v>
      </c>
      <c r="D60" s="13">
        <v>3939.54</v>
      </c>
      <c r="E60" s="13">
        <v>1250</v>
      </c>
      <c r="F60" s="74">
        <v>3.1516000000000002</v>
      </c>
      <c r="G60" s="13">
        <v>3000</v>
      </c>
      <c r="H60" s="74">
        <v>1.3130999999999999</v>
      </c>
    </row>
    <row r="61" spans="1:8" ht="20.100000000000001" customHeight="1" x14ac:dyDescent="0.25">
      <c r="A61" s="85" t="s">
        <v>63</v>
      </c>
      <c r="B61" s="86">
        <v>0</v>
      </c>
      <c r="C61" s="86">
        <v>0</v>
      </c>
      <c r="D61" s="86">
        <v>12258.98</v>
      </c>
      <c r="E61" s="86">
        <v>0</v>
      </c>
      <c r="F61" s="73">
        <v>122.5898</v>
      </c>
      <c r="G61" s="12">
        <v>0</v>
      </c>
      <c r="H61" s="73">
        <v>122.5898</v>
      </c>
    </row>
    <row r="62" spans="1:8" ht="20.100000000000001" customHeight="1" x14ac:dyDescent="0.25">
      <c r="A62" s="9" t="s">
        <v>64</v>
      </c>
      <c r="B62" s="13">
        <v>12406.56</v>
      </c>
      <c r="C62" s="13">
        <v>10325</v>
      </c>
      <c r="D62" s="13">
        <v>52154.06</v>
      </c>
      <c r="E62" s="13">
        <v>51625</v>
      </c>
      <c r="F62" s="74">
        <v>1.0102</v>
      </c>
      <c r="G62" s="13">
        <v>123900</v>
      </c>
      <c r="H62" s="74">
        <v>0.4209</v>
      </c>
    </row>
    <row r="63" spans="1:8" ht="20.100000000000001" customHeight="1" x14ac:dyDescent="0.25">
      <c r="A63" s="9" t="s">
        <v>65</v>
      </c>
      <c r="B63" s="12">
        <v>0</v>
      </c>
      <c r="C63" s="12">
        <v>3000</v>
      </c>
      <c r="D63" s="12">
        <v>0</v>
      </c>
      <c r="E63" s="12">
        <v>3000</v>
      </c>
      <c r="F63" s="73">
        <v>0</v>
      </c>
      <c r="G63" s="12">
        <v>30000</v>
      </c>
      <c r="H63" s="73">
        <v>0</v>
      </c>
    </row>
    <row r="64" spans="1:8" ht="20.100000000000001" customHeight="1" x14ac:dyDescent="0.25">
      <c r="A64" s="9" t="s">
        <v>66</v>
      </c>
      <c r="B64" s="13">
        <v>3807.8</v>
      </c>
      <c r="C64" s="13">
        <v>1675</v>
      </c>
      <c r="D64" s="13">
        <v>7970.33</v>
      </c>
      <c r="E64" s="13">
        <v>8375</v>
      </c>
      <c r="F64" s="74">
        <v>0.9516</v>
      </c>
      <c r="G64" s="13">
        <v>20000</v>
      </c>
      <c r="H64" s="74">
        <v>0.39850000000000002</v>
      </c>
    </row>
    <row r="65" spans="1:8" ht="20.100000000000001" customHeight="1" x14ac:dyDescent="0.25">
      <c r="A65" s="9" t="s">
        <v>67</v>
      </c>
      <c r="B65" s="12">
        <v>0</v>
      </c>
      <c r="C65" s="12">
        <v>0</v>
      </c>
      <c r="D65" s="12">
        <v>-14381.62</v>
      </c>
      <c r="E65" s="12">
        <v>0</v>
      </c>
      <c r="F65" s="73">
        <v>-143.81620000000001</v>
      </c>
      <c r="G65" s="12">
        <v>0</v>
      </c>
      <c r="H65" s="73">
        <v>-143.81620000000001</v>
      </c>
    </row>
    <row r="66" spans="1:8" ht="20.100000000000001" customHeight="1" x14ac:dyDescent="0.25">
      <c r="A66" s="9" t="s">
        <v>68</v>
      </c>
      <c r="B66" s="13">
        <v>440.55</v>
      </c>
      <c r="C66" s="13">
        <v>415</v>
      </c>
      <c r="D66" s="13">
        <v>6667.21</v>
      </c>
      <c r="E66" s="13">
        <v>2075</v>
      </c>
      <c r="F66" s="74">
        <v>3.2130999999999998</v>
      </c>
      <c r="G66" s="13">
        <v>5000</v>
      </c>
      <c r="H66" s="74">
        <v>1.3333999999999999</v>
      </c>
    </row>
    <row r="67" spans="1:8" ht="20.100000000000001" customHeight="1" x14ac:dyDescent="0.25">
      <c r="A67" s="9" t="s">
        <v>69</v>
      </c>
      <c r="B67" s="12">
        <v>477.88</v>
      </c>
      <c r="C67" s="12">
        <v>415</v>
      </c>
      <c r="D67" s="12">
        <f>84703.03-38799.96</f>
        <v>45903.07</v>
      </c>
      <c r="E67" s="12">
        <v>2075</v>
      </c>
      <c r="F67" s="73">
        <f>+D67/E67</f>
        <v>22.121961445783132</v>
      </c>
      <c r="G67" s="12">
        <v>5000</v>
      </c>
      <c r="H67" s="73">
        <v>16.9406</v>
      </c>
    </row>
    <row r="68" spans="1:8" ht="20.100000000000001" customHeight="1" x14ac:dyDescent="0.25">
      <c r="A68" s="9" t="s">
        <v>288</v>
      </c>
      <c r="B68" s="12">
        <v>0</v>
      </c>
      <c r="C68" s="12">
        <v>0</v>
      </c>
      <c r="D68" s="12">
        <f>84703.03-45903</f>
        <v>38800.03</v>
      </c>
      <c r="E68" s="12"/>
      <c r="F68" s="73"/>
      <c r="G68" s="12"/>
      <c r="H68" s="73">
        <v>16.9406</v>
      </c>
    </row>
    <row r="69" spans="1:8" ht="20.100000000000001" customHeight="1" x14ac:dyDescent="0.25">
      <c r="A69" s="9" t="s">
        <v>70</v>
      </c>
      <c r="B69" s="13">
        <v>425</v>
      </c>
      <c r="C69" s="13">
        <v>1250</v>
      </c>
      <c r="D69" s="13">
        <v>6363.24</v>
      </c>
      <c r="E69" s="13">
        <v>6250</v>
      </c>
      <c r="F69" s="74">
        <v>1.0181</v>
      </c>
      <c r="G69" s="13">
        <v>15000</v>
      </c>
      <c r="H69" s="74">
        <v>0.42420000000000002</v>
      </c>
    </row>
    <row r="70" spans="1:8" ht="20.100000000000001" customHeight="1" x14ac:dyDescent="0.25">
      <c r="A70" s="9" t="s">
        <v>71</v>
      </c>
      <c r="B70" s="12">
        <v>0</v>
      </c>
      <c r="C70" s="12">
        <v>0</v>
      </c>
      <c r="D70" s="12">
        <v>0</v>
      </c>
      <c r="E70" s="12">
        <v>500</v>
      </c>
      <c r="F70" s="73">
        <v>0</v>
      </c>
      <c r="G70" s="12">
        <v>1000</v>
      </c>
      <c r="H70" s="73">
        <v>0</v>
      </c>
    </row>
    <row r="71" spans="1:8" ht="20.100000000000001" customHeight="1" x14ac:dyDescent="0.25">
      <c r="A71" s="9" t="s">
        <v>72</v>
      </c>
      <c r="B71" s="13">
        <v>246.4</v>
      </c>
      <c r="C71" s="13">
        <v>333</v>
      </c>
      <c r="D71" s="13">
        <v>686.22</v>
      </c>
      <c r="E71" s="13">
        <v>1666</v>
      </c>
      <c r="F71" s="74">
        <v>0.4118</v>
      </c>
      <c r="G71" s="13">
        <v>4000</v>
      </c>
      <c r="H71" s="74">
        <v>0.17150000000000001</v>
      </c>
    </row>
    <row r="72" spans="1:8" ht="20.100000000000001" customHeight="1" x14ac:dyDescent="0.25">
      <c r="A72" s="9" t="s">
        <v>73</v>
      </c>
      <c r="B72" s="12">
        <v>8296.43</v>
      </c>
      <c r="C72" s="12">
        <v>5500</v>
      </c>
      <c r="D72" s="12">
        <v>28133.1</v>
      </c>
      <c r="E72" s="12">
        <v>27500</v>
      </c>
      <c r="F72" s="73">
        <v>1.0229999999999999</v>
      </c>
      <c r="G72" s="12">
        <v>66000</v>
      </c>
      <c r="H72" s="73">
        <v>0.42620000000000002</v>
      </c>
    </row>
    <row r="73" spans="1:8" ht="20.100000000000001" customHeight="1" x14ac:dyDescent="0.25">
      <c r="A73" s="9" t="s">
        <v>74</v>
      </c>
      <c r="B73" s="13">
        <v>11804.98</v>
      </c>
      <c r="C73" s="13">
        <v>5835</v>
      </c>
      <c r="D73" s="13">
        <v>33103.550000000003</v>
      </c>
      <c r="E73" s="13">
        <v>29170</v>
      </c>
      <c r="F73" s="74">
        <v>1.1348</v>
      </c>
      <c r="G73" s="13">
        <v>70000</v>
      </c>
      <c r="H73" s="74">
        <v>0.47289999999999999</v>
      </c>
    </row>
    <row r="74" spans="1:8" ht="20.100000000000001" customHeight="1" x14ac:dyDescent="0.25">
      <c r="A74" s="9" t="s">
        <v>75</v>
      </c>
      <c r="B74" s="12">
        <v>37.01</v>
      </c>
      <c r="C74" s="12">
        <v>417</v>
      </c>
      <c r="D74" s="12">
        <v>1526.33</v>
      </c>
      <c r="E74" s="12">
        <v>2083</v>
      </c>
      <c r="F74" s="73">
        <v>0.73270000000000002</v>
      </c>
      <c r="G74" s="12">
        <v>5000</v>
      </c>
      <c r="H74" s="73">
        <v>0.30520000000000003</v>
      </c>
    </row>
    <row r="75" spans="1:8" ht="20.100000000000001" customHeight="1" x14ac:dyDescent="0.25">
      <c r="A75" s="9" t="s">
        <v>76</v>
      </c>
      <c r="B75" s="13">
        <v>415</v>
      </c>
      <c r="C75" s="13">
        <v>584</v>
      </c>
      <c r="D75" s="13">
        <v>2446.94</v>
      </c>
      <c r="E75" s="13">
        <v>2917</v>
      </c>
      <c r="F75" s="74">
        <v>0.83879999999999999</v>
      </c>
      <c r="G75" s="13">
        <v>7000</v>
      </c>
      <c r="H75" s="74">
        <v>0.34949999999999998</v>
      </c>
    </row>
    <row r="76" spans="1:8" ht="20.100000000000001" customHeight="1" x14ac:dyDescent="0.25">
      <c r="A76" s="9" t="s">
        <v>77</v>
      </c>
      <c r="B76" s="12">
        <v>1570.04</v>
      </c>
      <c r="C76" s="12">
        <v>4167</v>
      </c>
      <c r="D76" s="12">
        <v>43554.6</v>
      </c>
      <c r="E76" s="12">
        <v>20833</v>
      </c>
      <c r="F76" s="73">
        <v>2.0905999999999998</v>
      </c>
      <c r="G76" s="12">
        <v>50000</v>
      </c>
      <c r="H76" s="73">
        <v>0.871</v>
      </c>
    </row>
    <row r="77" spans="1:8" ht="20.100000000000001" customHeight="1" x14ac:dyDescent="0.25">
      <c r="A77" s="9" t="s">
        <v>78</v>
      </c>
      <c r="B77" s="13">
        <v>2790.49</v>
      </c>
      <c r="C77" s="13">
        <v>1250</v>
      </c>
      <c r="D77" s="13">
        <v>9084.2900000000009</v>
      </c>
      <c r="E77" s="13">
        <v>6250</v>
      </c>
      <c r="F77" s="74">
        <v>1.4534</v>
      </c>
      <c r="G77" s="13">
        <v>15000</v>
      </c>
      <c r="H77" s="74">
        <v>0.60560000000000003</v>
      </c>
    </row>
    <row r="78" spans="1:8" ht="20.100000000000001" customHeight="1" x14ac:dyDescent="0.25">
      <c r="A78" s="9" t="s">
        <v>79</v>
      </c>
      <c r="B78" s="12">
        <v>4800.22</v>
      </c>
      <c r="C78" s="12">
        <v>5833</v>
      </c>
      <c r="D78" s="12">
        <f>55535.24-D79</f>
        <v>35535.24</v>
      </c>
      <c r="E78" s="12">
        <v>29166</v>
      </c>
      <c r="F78" s="73">
        <v>1.9040999999999999</v>
      </c>
      <c r="G78" s="12">
        <v>70000</v>
      </c>
      <c r="H78" s="73">
        <v>0.79330000000000001</v>
      </c>
    </row>
    <row r="79" spans="1:8" ht="20.100000000000001" customHeight="1" x14ac:dyDescent="0.25">
      <c r="A79" s="17" t="s">
        <v>287</v>
      </c>
      <c r="B79" s="19">
        <v>0</v>
      </c>
      <c r="C79" s="19">
        <v>0</v>
      </c>
      <c r="D79" s="19">
        <v>20000</v>
      </c>
      <c r="E79" s="19">
        <v>0</v>
      </c>
      <c r="F79" s="73">
        <v>0</v>
      </c>
      <c r="G79" s="12">
        <v>0</v>
      </c>
      <c r="H79" s="73">
        <v>0</v>
      </c>
    </row>
    <row r="80" spans="1:8" ht="20.100000000000001" customHeight="1" x14ac:dyDescent="0.25">
      <c r="A80" s="9" t="s">
        <v>80</v>
      </c>
      <c r="B80" s="13">
        <v>11927.7</v>
      </c>
      <c r="C80" s="13">
        <v>3167</v>
      </c>
      <c r="D80" s="13">
        <v>28714.17</v>
      </c>
      <c r="E80" s="13">
        <v>15833</v>
      </c>
      <c r="F80" s="74">
        <v>1.8134999999999999</v>
      </c>
      <c r="G80" s="13">
        <v>38000</v>
      </c>
      <c r="H80" s="74">
        <v>0.75560000000000005</v>
      </c>
    </row>
    <row r="81" spans="1:8" ht="20.100000000000001" customHeight="1" x14ac:dyDescent="0.25">
      <c r="A81" s="9" t="s">
        <v>81</v>
      </c>
      <c r="B81" s="3"/>
      <c r="C81" s="3"/>
      <c r="D81" s="3"/>
      <c r="E81" s="3"/>
      <c r="F81" s="75"/>
      <c r="G81" s="3"/>
      <c r="H81" s="75"/>
    </row>
    <row r="82" spans="1:8" ht="20.100000000000001" customHeight="1" x14ac:dyDescent="0.25">
      <c r="A82" s="9" t="s">
        <v>82</v>
      </c>
      <c r="B82" s="13">
        <v>205.56</v>
      </c>
      <c r="C82" s="13">
        <v>625</v>
      </c>
      <c r="D82" s="13">
        <v>604.37</v>
      </c>
      <c r="E82" s="13">
        <v>3125</v>
      </c>
      <c r="F82" s="74">
        <v>0.1933</v>
      </c>
      <c r="G82" s="13">
        <v>7500</v>
      </c>
      <c r="H82" s="74">
        <v>8.0500000000000002E-2</v>
      </c>
    </row>
    <row r="83" spans="1:8" ht="20.100000000000001" customHeight="1" x14ac:dyDescent="0.25">
      <c r="A83" s="9" t="s">
        <v>83</v>
      </c>
      <c r="B83" s="12">
        <v>277.58</v>
      </c>
      <c r="C83" s="12">
        <v>0</v>
      </c>
      <c r="D83" s="12">
        <v>5834.18</v>
      </c>
      <c r="E83" s="12">
        <v>0</v>
      </c>
      <c r="F83" s="73">
        <v>58.341799999999999</v>
      </c>
      <c r="G83" s="12">
        <v>0</v>
      </c>
      <c r="H83" s="73">
        <v>58.341799999999999</v>
      </c>
    </row>
    <row r="84" spans="1:8" ht="20.100000000000001" customHeight="1" x14ac:dyDescent="0.25">
      <c r="A84" s="9" t="s">
        <v>84</v>
      </c>
      <c r="B84" s="13">
        <v>1575.07</v>
      </c>
      <c r="C84" s="13">
        <v>5000</v>
      </c>
      <c r="D84" s="13">
        <v>30568.1</v>
      </c>
      <c r="E84" s="13">
        <v>25000</v>
      </c>
      <c r="F84" s="74">
        <v>1.2226999999999999</v>
      </c>
      <c r="G84" s="13">
        <v>60000</v>
      </c>
      <c r="H84" s="74">
        <v>0.50939999999999996</v>
      </c>
    </row>
    <row r="85" spans="1:8" ht="20.100000000000001" customHeight="1" x14ac:dyDescent="0.25">
      <c r="A85" s="9" t="s">
        <v>85</v>
      </c>
      <c r="B85" s="12">
        <v>1056.47</v>
      </c>
      <c r="C85" s="12">
        <v>1667</v>
      </c>
      <c r="D85" s="12">
        <v>8090.88</v>
      </c>
      <c r="E85" s="12">
        <v>8333</v>
      </c>
      <c r="F85" s="73">
        <v>0.97089999999999999</v>
      </c>
      <c r="G85" s="12">
        <v>20000</v>
      </c>
      <c r="H85" s="73">
        <v>0.40450000000000003</v>
      </c>
    </row>
    <row r="86" spans="1:8" ht="20.100000000000001" customHeight="1" x14ac:dyDescent="0.25">
      <c r="A86" s="9" t="s">
        <v>86</v>
      </c>
      <c r="B86" s="13">
        <v>95</v>
      </c>
      <c r="C86" s="13">
        <v>833</v>
      </c>
      <c r="D86" s="13">
        <v>12519.64</v>
      </c>
      <c r="E86" s="13">
        <v>4166</v>
      </c>
      <c r="F86" s="74">
        <v>3.0051000000000001</v>
      </c>
      <c r="G86" s="13">
        <v>10000</v>
      </c>
      <c r="H86" s="74">
        <v>1.2519</v>
      </c>
    </row>
    <row r="87" spans="1:8" ht="20.100000000000001" customHeight="1" x14ac:dyDescent="0.25">
      <c r="A87" s="17" t="s">
        <v>87</v>
      </c>
      <c r="B87" s="19">
        <v>-813.16</v>
      </c>
      <c r="C87" s="19">
        <v>0</v>
      </c>
      <c r="D87" s="19">
        <v>-51.62</v>
      </c>
      <c r="E87" s="19">
        <v>0</v>
      </c>
      <c r="F87" s="73">
        <v>-0.51619999999999999</v>
      </c>
      <c r="G87" s="12">
        <v>0</v>
      </c>
      <c r="H87" s="73">
        <v>-0.51619999999999999</v>
      </c>
    </row>
    <row r="88" spans="1:8" ht="20.100000000000001" customHeight="1" x14ac:dyDescent="0.25">
      <c r="A88" s="17" t="s">
        <v>88</v>
      </c>
      <c r="B88" s="19">
        <v>836.33</v>
      </c>
      <c r="C88" s="19">
        <v>0</v>
      </c>
      <c r="D88" s="19">
        <v>2508.9899999999998</v>
      </c>
      <c r="E88" s="19">
        <v>0</v>
      </c>
      <c r="F88" s="74">
        <v>25.0899</v>
      </c>
      <c r="G88" s="13">
        <v>0</v>
      </c>
      <c r="H88" s="74">
        <v>25.0899</v>
      </c>
    </row>
    <row r="89" spans="1:8" ht="20.100000000000001" customHeight="1" x14ac:dyDescent="0.25">
      <c r="A89" s="17" t="s">
        <v>89</v>
      </c>
      <c r="B89" s="19">
        <v>835</v>
      </c>
      <c r="C89" s="19">
        <v>0</v>
      </c>
      <c r="D89" s="19">
        <v>3070.75</v>
      </c>
      <c r="E89" s="19">
        <v>0</v>
      </c>
      <c r="F89" s="73">
        <v>30.7075</v>
      </c>
      <c r="G89" s="12">
        <v>0</v>
      </c>
      <c r="H89" s="73">
        <v>30.7075</v>
      </c>
    </row>
    <row r="90" spans="1:8" ht="20.100000000000001" customHeight="1" x14ac:dyDescent="0.25">
      <c r="A90" s="17" t="s">
        <v>90</v>
      </c>
      <c r="B90" s="19">
        <v>782.43</v>
      </c>
      <c r="C90" s="19">
        <v>0</v>
      </c>
      <c r="D90" s="19">
        <v>512746.98</v>
      </c>
      <c r="E90" s="19">
        <v>0</v>
      </c>
      <c r="F90" s="74">
        <v>5127.4697999999999</v>
      </c>
      <c r="G90" s="13">
        <v>0</v>
      </c>
      <c r="H90" s="74">
        <v>5127.4697999999999</v>
      </c>
    </row>
    <row r="91" spans="1:8" ht="20.100000000000001" customHeight="1" x14ac:dyDescent="0.25">
      <c r="A91" s="10" t="s">
        <v>91</v>
      </c>
      <c r="B91" s="11">
        <f>SUM(B92:B108)</f>
        <v>212030.11</v>
      </c>
      <c r="C91" s="11">
        <f>SUM(C92:C108)</f>
        <v>50618</v>
      </c>
      <c r="D91" s="11">
        <f>SUM(D92:D108)</f>
        <v>4032631.29</v>
      </c>
      <c r="E91" s="11">
        <f>SUM(E92:E108)</f>
        <v>268961</v>
      </c>
      <c r="F91" s="69">
        <f>+D91/E91</f>
        <v>14.993368146311175</v>
      </c>
      <c r="G91" s="11">
        <f>SUM(G92:G108)</f>
        <v>634797</v>
      </c>
      <c r="H91" s="69">
        <f>+D91/G91</f>
        <v>6.3526312978794799</v>
      </c>
    </row>
    <row r="92" spans="1:8" ht="20.100000000000001" customHeight="1" x14ac:dyDescent="0.25">
      <c r="A92" s="9" t="s">
        <v>92</v>
      </c>
      <c r="B92" s="1"/>
      <c r="C92" s="1"/>
      <c r="D92" s="1"/>
      <c r="E92" s="1"/>
      <c r="F92" s="68"/>
      <c r="G92" s="1"/>
      <c r="H92" s="68"/>
    </row>
    <row r="93" spans="1:8" ht="20.100000000000001" customHeight="1" x14ac:dyDescent="0.25">
      <c r="A93" s="9" t="s">
        <v>93</v>
      </c>
      <c r="B93" s="12">
        <v>31406.65</v>
      </c>
      <c r="C93" s="12">
        <v>31285</v>
      </c>
      <c r="D93" s="12">
        <v>177788.78</v>
      </c>
      <c r="E93" s="12">
        <v>172072</v>
      </c>
      <c r="F93" s="73">
        <v>1.0331999999999999</v>
      </c>
      <c r="G93" s="12">
        <v>406712</v>
      </c>
      <c r="H93" s="73">
        <v>0.43709999999999999</v>
      </c>
    </row>
    <row r="94" spans="1:8" ht="20.100000000000001" customHeight="1" x14ac:dyDescent="0.25">
      <c r="A94" s="9" t="s">
        <v>94</v>
      </c>
      <c r="B94" s="13">
        <v>925.51</v>
      </c>
      <c r="C94" s="13">
        <v>665</v>
      </c>
      <c r="D94" s="13">
        <v>6436.62</v>
      </c>
      <c r="E94" s="13">
        <v>3658</v>
      </c>
      <c r="F94" s="74">
        <v>1.7596000000000001</v>
      </c>
      <c r="G94" s="13">
        <v>8650</v>
      </c>
      <c r="H94" s="74">
        <v>0.74409999999999998</v>
      </c>
    </row>
    <row r="95" spans="1:8" ht="20.100000000000001" customHeight="1" x14ac:dyDescent="0.25">
      <c r="A95" s="9" t="s">
        <v>95</v>
      </c>
      <c r="B95" s="12">
        <v>2757.64</v>
      </c>
      <c r="C95" s="12">
        <v>2700</v>
      </c>
      <c r="D95" s="12">
        <v>15182.17</v>
      </c>
      <c r="E95" s="12">
        <v>14850</v>
      </c>
      <c r="F95" s="73">
        <v>1.0223</v>
      </c>
      <c r="G95" s="12">
        <v>35098</v>
      </c>
      <c r="H95" s="73">
        <v>0.4325</v>
      </c>
    </row>
    <row r="96" spans="1:8" ht="20.100000000000001" customHeight="1" x14ac:dyDescent="0.25">
      <c r="A96" s="9" t="s">
        <v>96</v>
      </c>
      <c r="B96" s="13">
        <v>7463.4</v>
      </c>
      <c r="C96" s="13">
        <v>7576</v>
      </c>
      <c r="D96" s="13">
        <v>36885.769999999997</v>
      </c>
      <c r="E96" s="13">
        <v>37880</v>
      </c>
      <c r="F96" s="74">
        <v>0.97370000000000001</v>
      </c>
      <c r="G96" s="13">
        <v>90912</v>
      </c>
      <c r="H96" s="74">
        <v>0.40570000000000001</v>
      </c>
    </row>
    <row r="97" spans="1:12" ht="20.100000000000001" customHeight="1" x14ac:dyDescent="0.25">
      <c r="A97" s="9" t="s">
        <v>97</v>
      </c>
      <c r="B97" s="12">
        <v>382.38</v>
      </c>
      <c r="C97" s="12">
        <v>340</v>
      </c>
      <c r="D97" s="12">
        <v>2102.41</v>
      </c>
      <c r="E97" s="12">
        <v>1870</v>
      </c>
      <c r="F97" s="73">
        <v>1.1242000000000001</v>
      </c>
      <c r="G97" s="12">
        <v>4419</v>
      </c>
      <c r="H97" s="73">
        <v>0.47570000000000001</v>
      </c>
    </row>
    <row r="98" spans="1:12" ht="20.100000000000001" customHeight="1" x14ac:dyDescent="0.25">
      <c r="A98" s="9" t="s">
        <v>98</v>
      </c>
      <c r="B98" s="13">
        <v>0</v>
      </c>
      <c r="C98" s="13">
        <v>42</v>
      </c>
      <c r="D98" s="13">
        <v>74.760000000000005</v>
      </c>
      <c r="E98" s="13">
        <v>208</v>
      </c>
      <c r="F98" s="74">
        <v>0.3594</v>
      </c>
      <c r="G98" s="13">
        <v>500</v>
      </c>
      <c r="H98" s="74">
        <v>0.14949999999999999</v>
      </c>
    </row>
    <row r="99" spans="1:12" ht="20.100000000000001" customHeight="1" x14ac:dyDescent="0.25">
      <c r="A99" s="9" t="s">
        <v>99</v>
      </c>
      <c r="B99" s="12">
        <v>0</v>
      </c>
      <c r="C99" s="12">
        <v>42</v>
      </c>
      <c r="D99" s="12">
        <v>72.08</v>
      </c>
      <c r="E99" s="12">
        <v>229</v>
      </c>
      <c r="F99" s="73">
        <v>0.31469999999999998</v>
      </c>
      <c r="G99" s="12">
        <v>541</v>
      </c>
      <c r="H99" s="73">
        <v>0.13320000000000001</v>
      </c>
    </row>
    <row r="100" spans="1:12" ht="20.100000000000001" customHeight="1" x14ac:dyDescent="0.25">
      <c r="A100" s="9" t="s">
        <v>100</v>
      </c>
      <c r="B100" s="1"/>
      <c r="C100" s="1"/>
      <c r="D100" s="1"/>
      <c r="E100" s="1"/>
      <c r="F100" s="68"/>
      <c r="G100" s="1"/>
      <c r="H100" s="68"/>
    </row>
    <row r="101" spans="1:12" ht="20.100000000000001" customHeight="1" x14ac:dyDescent="0.25">
      <c r="A101" s="9" t="s">
        <v>101</v>
      </c>
      <c r="B101" s="12">
        <v>1533.06</v>
      </c>
      <c r="C101" s="12">
        <v>1000</v>
      </c>
      <c r="D101" s="12">
        <v>5114.79</v>
      </c>
      <c r="E101" s="12">
        <v>3500</v>
      </c>
      <c r="F101" s="73">
        <v>1.4613</v>
      </c>
      <c r="G101" s="12">
        <v>5000</v>
      </c>
      <c r="H101" s="73">
        <v>1.0228999999999999</v>
      </c>
    </row>
    <row r="102" spans="1:12" ht="20.100000000000001" customHeight="1" x14ac:dyDescent="0.25">
      <c r="A102" s="9" t="s">
        <v>102</v>
      </c>
      <c r="B102" s="13">
        <v>130.37</v>
      </c>
      <c r="C102" s="13">
        <v>90</v>
      </c>
      <c r="D102" s="13">
        <v>412.35</v>
      </c>
      <c r="E102" s="13">
        <v>315</v>
      </c>
      <c r="F102" s="74">
        <v>1.3089999999999999</v>
      </c>
      <c r="G102" s="13">
        <v>450</v>
      </c>
      <c r="H102" s="74">
        <v>0.9163</v>
      </c>
    </row>
    <row r="103" spans="1:12" ht="20.100000000000001" customHeight="1" x14ac:dyDescent="0.25">
      <c r="A103" s="9" t="s">
        <v>103</v>
      </c>
      <c r="B103" s="12">
        <v>0</v>
      </c>
      <c r="C103" s="12">
        <v>1</v>
      </c>
      <c r="D103" s="12">
        <v>0.9</v>
      </c>
      <c r="E103" s="12">
        <v>6</v>
      </c>
      <c r="F103" s="73">
        <v>0.15</v>
      </c>
      <c r="G103" s="12">
        <v>15</v>
      </c>
      <c r="H103" s="73">
        <v>0.06</v>
      </c>
    </row>
    <row r="104" spans="1:12" ht="20.100000000000001" customHeight="1" x14ac:dyDescent="0.25">
      <c r="A104" s="9" t="s">
        <v>81</v>
      </c>
      <c r="B104" s="1"/>
      <c r="C104" s="1"/>
      <c r="D104" s="1"/>
      <c r="E104" s="1"/>
      <c r="F104" s="68"/>
      <c r="G104" s="1"/>
      <c r="H104" s="68"/>
    </row>
    <row r="105" spans="1:12" ht="20.100000000000001" customHeight="1" x14ac:dyDescent="0.25">
      <c r="A105" s="9" t="s">
        <v>104</v>
      </c>
      <c r="B105" s="12">
        <v>0</v>
      </c>
      <c r="C105" s="12">
        <v>5835</v>
      </c>
      <c r="D105" s="12">
        <v>18932.689999999999</v>
      </c>
      <c r="E105" s="12">
        <v>29165</v>
      </c>
      <c r="F105" s="73">
        <v>0.64910000000000001</v>
      </c>
      <c r="G105" s="12">
        <v>70000</v>
      </c>
      <c r="H105" s="73">
        <v>0.27039999999999997</v>
      </c>
    </row>
    <row r="106" spans="1:12" ht="20.100000000000001" customHeight="1" x14ac:dyDescent="0.25">
      <c r="A106" s="9" t="s">
        <v>105</v>
      </c>
      <c r="B106" s="13">
        <v>0</v>
      </c>
      <c r="C106" s="13">
        <v>625</v>
      </c>
      <c r="D106" s="13">
        <v>0</v>
      </c>
      <c r="E106" s="13">
        <v>3125</v>
      </c>
      <c r="F106" s="74">
        <v>0</v>
      </c>
      <c r="G106" s="13">
        <v>7500</v>
      </c>
      <c r="H106" s="74">
        <v>0</v>
      </c>
    </row>
    <row r="107" spans="1:12" ht="20.100000000000001" customHeight="1" x14ac:dyDescent="0.25">
      <c r="A107" s="9" t="s">
        <v>106</v>
      </c>
      <c r="B107" s="12">
        <v>351.74</v>
      </c>
      <c r="C107" s="12">
        <v>417</v>
      </c>
      <c r="D107" s="12">
        <v>3371.59</v>
      </c>
      <c r="E107" s="12">
        <v>2083</v>
      </c>
      <c r="F107" s="73">
        <v>1.6186</v>
      </c>
      <c r="G107" s="12">
        <v>5000</v>
      </c>
      <c r="H107" s="73">
        <v>0.67430000000000001</v>
      </c>
    </row>
    <row r="108" spans="1:12" ht="20.100000000000001" customHeight="1" x14ac:dyDescent="0.25">
      <c r="A108" s="17" t="s">
        <v>107</v>
      </c>
      <c r="B108" s="19">
        <v>167079.35999999999</v>
      </c>
      <c r="C108" s="19">
        <v>0</v>
      </c>
      <c r="D108" s="19">
        <v>3766256.38</v>
      </c>
      <c r="E108" s="19">
        <v>0</v>
      </c>
      <c r="F108" s="74">
        <v>37662.563800000004</v>
      </c>
      <c r="G108" s="13">
        <v>0</v>
      </c>
      <c r="H108" s="74">
        <v>37662.563800000004</v>
      </c>
      <c r="J108" s="65"/>
      <c r="L108" s="65"/>
    </row>
    <row r="109" spans="1:12" ht="20.100000000000001" customHeight="1" x14ac:dyDescent="0.25">
      <c r="A109" s="10" t="s">
        <v>108</v>
      </c>
      <c r="B109" s="11">
        <f>SUM(B110:B149)</f>
        <v>342362.08999999997</v>
      </c>
      <c r="C109" s="11">
        <f>SUM(C110:C149)</f>
        <v>282221</v>
      </c>
      <c r="D109" s="11">
        <f>SUM(D110:D149)</f>
        <v>1664667.8399999999</v>
      </c>
      <c r="E109" s="11">
        <f>SUM(E110:E149)</f>
        <v>1509603</v>
      </c>
      <c r="F109" s="69">
        <f>+D109/E109</f>
        <v>1.1027189532612216</v>
      </c>
      <c r="G109" s="11">
        <f>SUM(G110:G149)</f>
        <v>3349211</v>
      </c>
      <c r="H109" s="69">
        <f>+D109/G109</f>
        <v>0.49703283549468813</v>
      </c>
    </row>
    <row r="110" spans="1:12" ht="20.100000000000001" customHeight="1" x14ac:dyDescent="0.25">
      <c r="A110" s="9" t="s">
        <v>92</v>
      </c>
      <c r="B110" s="1"/>
      <c r="C110" s="1"/>
      <c r="D110" s="1"/>
      <c r="E110" s="1"/>
      <c r="F110" s="68"/>
      <c r="G110" s="1"/>
      <c r="H110" s="68"/>
    </row>
    <row r="111" spans="1:12" ht="20.100000000000001" customHeight="1" x14ac:dyDescent="0.25">
      <c r="A111" s="9" t="s">
        <v>109</v>
      </c>
      <c r="B111" s="12">
        <v>87945.43</v>
      </c>
      <c r="C111" s="12">
        <v>86346</v>
      </c>
      <c r="D111" s="12">
        <v>472352.94</v>
      </c>
      <c r="E111" s="12">
        <v>474903</v>
      </c>
      <c r="F111" s="73">
        <v>0.99460000000000004</v>
      </c>
      <c r="G111" s="12">
        <v>1122499</v>
      </c>
      <c r="H111" s="73">
        <v>0.42080000000000001</v>
      </c>
    </row>
    <row r="112" spans="1:12" ht="20.100000000000001" customHeight="1" x14ac:dyDescent="0.25">
      <c r="A112" s="9" t="s">
        <v>110</v>
      </c>
      <c r="B112" s="13">
        <v>8474.58</v>
      </c>
      <c r="C112" s="13">
        <v>11606</v>
      </c>
      <c r="D112" s="13">
        <v>80939.759999999995</v>
      </c>
      <c r="E112" s="13">
        <v>63830</v>
      </c>
      <c r="F112" s="74">
        <v>1.268</v>
      </c>
      <c r="G112" s="13">
        <v>150872</v>
      </c>
      <c r="H112" s="74">
        <v>0.53639999999999999</v>
      </c>
    </row>
    <row r="113" spans="1:8" ht="20.100000000000001" customHeight="1" x14ac:dyDescent="0.25">
      <c r="A113" s="9" t="s">
        <v>111</v>
      </c>
      <c r="B113" s="12">
        <v>10320</v>
      </c>
      <c r="C113" s="12">
        <v>12832</v>
      </c>
      <c r="D113" s="12">
        <v>32220</v>
      </c>
      <c r="E113" s="12">
        <v>51328</v>
      </c>
      <c r="F113" s="73">
        <v>0.62770000000000004</v>
      </c>
      <c r="G113" s="12">
        <v>80200</v>
      </c>
      <c r="H113" s="73">
        <v>0.4017</v>
      </c>
    </row>
    <row r="114" spans="1:8" ht="20.100000000000001" customHeight="1" x14ac:dyDescent="0.25">
      <c r="A114" s="9" t="s">
        <v>112</v>
      </c>
      <c r="B114" s="13">
        <v>4485</v>
      </c>
      <c r="C114" s="13">
        <v>12680</v>
      </c>
      <c r="D114" s="13">
        <v>30355</v>
      </c>
      <c r="E114" s="13">
        <v>50720</v>
      </c>
      <c r="F114" s="74">
        <v>0.59840000000000004</v>
      </c>
      <c r="G114" s="13">
        <v>79250</v>
      </c>
      <c r="H114" s="74">
        <v>0.38300000000000001</v>
      </c>
    </row>
    <row r="115" spans="1:8" ht="20.100000000000001" customHeight="1" x14ac:dyDescent="0.25">
      <c r="A115" s="9" t="s">
        <v>113</v>
      </c>
      <c r="B115" s="12">
        <v>2019.08</v>
      </c>
      <c r="C115" s="12">
        <v>1250</v>
      </c>
      <c r="D115" s="12">
        <v>10837.49</v>
      </c>
      <c r="E115" s="12">
        <v>6250</v>
      </c>
      <c r="F115" s="73">
        <v>1.7339</v>
      </c>
      <c r="G115" s="12">
        <v>15000</v>
      </c>
      <c r="H115" s="73">
        <v>0.72240000000000004</v>
      </c>
    </row>
    <row r="116" spans="1:8" ht="20.100000000000001" customHeight="1" x14ac:dyDescent="0.25">
      <c r="A116" s="9" t="s">
        <v>114</v>
      </c>
      <c r="B116" s="13">
        <v>9553.67</v>
      </c>
      <c r="C116" s="13">
        <v>9395</v>
      </c>
      <c r="D116" s="13">
        <v>51934.19</v>
      </c>
      <c r="E116" s="13">
        <v>51670</v>
      </c>
      <c r="F116" s="74">
        <v>1.0051000000000001</v>
      </c>
      <c r="G116" s="13">
        <v>122131</v>
      </c>
      <c r="H116" s="74">
        <v>0.42520000000000002</v>
      </c>
    </row>
    <row r="117" spans="1:8" ht="20.100000000000001" customHeight="1" x14ac:dyDescent="0.25">
      <c r="A117" s="9" t="s">
        <v>115</v>
      </c>
      <c r="B117" s="12">
        <v>31522.46</v>
      </c>
      <c r="C117" s="12">
        <v>28962</v>
      </c>
      <c r="D117" s="12">
        <v>157053.14000000001</v>
      </c>
      <c r="E117" s="12">
        <v>159290</v>
      </c>
      <c r="F117" s="73">
        <v>0.9859</v>
      </c>
      <c r="G117" s="12">
        <v>376502</v>
      </c>
      <c r="H117" s="73">
        <v>0.41710000000000003</v>
      </c>
    </row>
    <row r="118" spans="1:8" ht="20.100000000000001" customHeight="1" x14ac:dyDescent="0.25">
      <c r="A118" s="9" t="s">
        <v>116</v>
      </c>
      <c r="B118" s="13">
        <v>14781.71</v>
      </c>
      <c r="C118" s="13">
        <v>14442</v>
      </c>
      <c r="D118" s="13">
        <v>90842.240000000005</v>
      </c>
      <c r="E118" s="13">
        <v>79431</v>
      </c>
      <c r="F118" s="74">
        <v>1.1435999999999999</v>
      </c>
      <c r="G118" s="13">
        <v>187744</v>
      </c>
      <c r="H118" s="74">
        <v>0.48380000000000001</v>
      </c>
    </row>
    <row r="119" spans="1:8" ht="20.100000000000001" customHeight="1" x14ac:dyDescent="0.25">
      <c r="A119" s="9" t="s">
        <v>117</v>
      </c>
      <c r="B119" s="12">
        <v>29.95</v>
      </c>
      <c r="C119" s="12">
        <v>1250</v>
      </c>
      <c r="D119" s="12">
        <v>11768.23</v>
      </c>
      <c r="E119" s="12">
        <v>6250</v>
      </c>
      <c r="F119" s="73">
        <v>1.8829</v>
      </c>
      <c r="G119" s="12">
        <v>15000</v>
      </c>
      <c r="H119" s="73">
        <v>0.78449999999999998</v>
      </c>
    </row>
    <row r="120" spans="1:8" ht="20.100000000000001" customHeight="1" x14ac:dyDescent="0.25">
      <c r="A120" s="9" t="s">
        <v>118</v>
      </c>
      <c r="B120" s="13">
        <v>0</v>
      </c>
      <c r="C120" s="13">
        <v>3798</v>
      </c>
      <c r="D120" s="13">
        <v>7655.2</v>
      </c>
      <c r="E120" s="13">
        <v>20889</v>
      </c>
      <c r="F120" s="74">
        <v>0.3664</v>
      </c>
      <c r="G120" s="13">
        <v>49371</v>
      </c>
      <c r="H120" s="74">
        <v>0.155</v>
      </c>
    </row>
    <row r="121" spans="1:8" ht="20.100000000000001" customHeight="1" x14ac:dyDescent="0.25">
      <c r="A121" s="9" t="s">
        <v>119</v>
      </c>
      <c r="B121" s="3"/>
      <c r="C121" s="3"/>
      <c r="D121" s="3"/>
      <c r="E121" s="3"/>
      <c r="F121" s="75"/>
      <c r="G121" s="3"/>
      <c r="H121" s="75"/>
    </row>
    <row r="122" spans="1:8" ht="20.100000000000001" customHeight="1" x14ac:dyDescent="0.25">
      <c r="A122" s="9" t="s">
        <v>120</v>
      </c>
      <c r="B122" s="13">
        <v>21094.28</v>
      </c>
      <c r="C122" s="13">
        <v>23888</v>
      </c>
      <c r="D122" s="13">
        <v>128614.54</v>
      </c>
      <c r="E122" s="13">
        <v>131386</v>
      </c>
      <c r="F122" s="74">
        <v>0.97889999999999999</v>
      </c>
      <c r="G122" s="13">
        <v>310549</v>
      </c>
      <c r="H122" s="74">
        <v>0.41410000000000002</v>
      </c>
    </row>
    <row r="123" spans="1:8" ht="20.100000000000001" customHeight="1" x14ac:dyDescent="0.25">
      <c r="A123" s="9" t="s">
        <v>121</v>
      </c>
      <c r="B123" s="12">
        <v>2117.88</v>
      </c>
      <c r="C123" s="12">
        <v>3427</v>
      </c>
      <c r="D123" s="12">
        <v>16644.990000000002</v>
      </c>
      <c r="E123" s="12">
        <v>18848</v>
      </c>
      <c r="F123" s="73">
        <v>0.8831</v>
      </c>
      <c r="G123" s="12">
        <v>44549</v>
      </c>
      <c r="H123" s="73">
        <v>0.37359999999999999</v>
      </c>
    </row>
    <row r="124" spans="1:8" ht="20.100000000000001" customHeight="1" x14ac:dyDescent="0.25">
      <c r="A124" s="9" t="s">
        <v>122</v>
      </c>
      <c r="B124" s="13">
        <v>1979.43</v>
      </c>
      <c r="C124" s="13">
        <v>2308</v>
      </c>
      <c r="D124" s="13">
        <v>12128.18</v>
      </c>
      <c r="E124" s="13">
        <v>12694</v>
      </c>
      <c r="F124" s="74">
        <v>0.95540000000000003</v>
      </c>
      <c r="G124" s="13">
        <v>30006</v>
      </c>
      <c r="H124" s="74">
        <v>0.40410000000000001</v>
      </c>
    </row>
    <row r="125" spans="1:8" ht="20.100000000000001" customHeight="1" x14ac:dyDescent="0.25">
      <c r="A125" s="9" t="s">
        <v>123</v>
      </c>
      <c r="B125" s="12">
        <v>9384.2099999999991</v>
      </c>
      <c r="C125" s="12">
        <v>13372</v>
      </c>
      <c r="D125" s="12">
        <v>50039.74</v>
      </c>
      <c r="E125" s="12">
        <v>66859</v>
      </c>
      <c r="F125" s="73">
        <v>0.74839999999999995</v>
      </c>
      <c r="G125" s="12">
        <v>160457</v>
      </c>
      <c r="H125" s="73">
        <v>0.31180000000000002</v>
      </c>
    </row>
    <row r="126" spans="1:8" ht="20.100000000000001" customHeight="1" x14ac:dyDescent="0.25">
      <c r="A126" s="9" t="s">
        <v>124</v>
      </c>
      <c r="B126" s="13">
        <v>488.77</v>
      </c>
      <c r="C126" s="13">
        <v>612</v>
      </c>
      <c r="D126" s="13">
        <v>3188.85</v>
      </c>
      <c r="E126" s="13">
        <v>3366</v>
      </c>
      <c r="F126" s="74">
        <v>0.94730000000000003</v>
      </c>
      <c r="G126" s="13">
        <v>7954</v>
      </c>
      <c r="H126" s="74">
        <v>0.40089999999999998</v>
      </c>
    </row>
    <row r="127" spans="1:8" ht="20.100000000000001" customHeight="1" x14ac:dyDescent="0.25">
      <c r="A127" s="9" t="s">
        <v>125</v>
      </c>
      <c r="B127" s="12">
        <v>0</v>
      </c>
      <c r="C127" s="12">
        <v>167</v>
      </c>
      <c r="D127" s="12">
        <v>80</v>
      </c>
      <c r="E127" s="12">
        <v>835</v>
      </c>
      <c r="F127" s="73">
        <v>9.5799999999999996E-2</v>
      </c>
      <c r="G127" s="12">
        <v>2000</v>
      </c>
      <c r="H127" s="73">
        <v>0.04</v>
      </c>
    </row>
    <row r="128" spans="1:8" ht="20.100000000000001" customHeight="1" x14ac:dyDescent="0.25">
      <c r="A128" s="9" t="s">
        <v>126</v>
      </c>
      <c r="B128" s="13">
        <v>0</v>
      </c>
      <c r="C128" s="13">
        <v>36</v>
      </c>
      <c r="D128" s="13">
        <v>63.5</v>
      </c>
      <c r="E128" s="13">
        <v>196</v>
      </c>
      <c r="F128" s="74">
        <v>0.32390000000000002</v>
      </c>
      <c r="G128" s="13">
        <v>462</v>
      </c>
      <c r="H128" s="74">
        <v>0.13739999999999999</v>
      </c>
    </row>
    <row r="129" spans="1:8" ht="20.100000000000001" customHeight="1" x14ac:dyDescent="0.25">
      <c r="A129" s="9" t="s">
        <v>100</v>
      </c>
      <c r="B129" s="3"/>
      <c r="C129" s="3"/>
      <c r="D129" s="3"/>
      <c r="E129" s="3"/>
      <c r="F129" s="75"/>
      <c r="G129" s="3"/>
      <c r="H129" s="75"/>
    </row>
    <row r="130" spans="1:8" ht="20.100000000000001" customHeight="1" x14ac:dyDescent="0.25">
      <c r="A130" s="9" t="s">
        <v>127</v>
      </c>
      <c r="B130" s="13">
        <v>33318.129999999997</v>
      </c>
      <c r="C130" s="13">
        <v>22850</v>
      </c>
      <c r="D130" s="13">
        <v>166500.56</v>
      </c>
      <c r="E130" s="13">
        <v>114350</v>
      </c>
      <c r="F130" s="74">
        <v>1.456</v>
      </c>
      <c r="G130" s="13">
        <v>171500</v>
      </c>
      <c r="H130" s="74">
        <v>0.9708</v>
      </c>
    </row>
    <row r="131" spans="1:8" ht="20.100000000000001" customHeight="1" x14ac:dyDescent="0.25">
      <c r="A131" s="9" t="s">
        <v>128</v>
      </c>
      <c r="B131" s="12">
        <v>1766.26</v>
      </c>
      <c r="C131" s="12">
        <v>934</v>
      </c>
      <c r="D131" s="12">
        <v>8642.1200000000008</v>
      </c>
      <c r="E131" s="12">
        <v>4667</v>
      </c>
      <c r="F131" s="73">
        <v>1.8516999999999999</v>
      </c>
      <c r="G131" s="12">
        <v>7000</v>
      </c>
      <c r="H131" s="73">
        <v>1.2344999999999999</v>
      </c>
    </row>
    <row r="132" spans="1:8" ht="20.100000000000001" customHeight="1" x14ac:dyDescent="0.25">
      <c r="A132" s="9" t="s">
        <v>129</v>
      </c>
      <c r="B132" s="13">
        <v>3014</v>
      </c>
      <c r="C132" s="13">
        <v>2140</v>
      </c>
      <c r="D132" s="13">
        <v>15081.44</v>
      </c>
      <c r="E132" s="13">
        <v>10715</v>
      </c>
      <c r="F132" s="74">
        <v>1.4075</v>
      </c>
      <c r="G132" s="13">
        <v>16065</v>
      </c>
      <c r="H132" s="74">
        <v>0.93869999999999998</v>
      </c>
    </row>
    <row r="133" spans="1:8" ht="20.100000000000001" customHeight="1" x14ac:dyDescent="0.25">
      <c r="A133" s="9" t="s">
        <v>130</v>
      </c>
      <c r="B133" s="12">
        <v>0</v>
      </c>
      <c r="C133" s="12">
        <v>0</v>
      </c>
      <c r="D133" s="12">
        <v>9540.58</v>
      </c>
      <c r="E133" s="12">
        <v>4500</v>
      </c>
      <c r="F133" s="73">
        <v>2.1200999999999999</v>
      </c>
      <c r="G133" s="12">
        <v>9000</v>
      </c>
      <c r="H133" s="73">
        <v>1.06</v>
      </c>
    </row>
    <row r="134" spans="1:8" ht="20.100000000000001" customHeight="1" x14ac:dyDescent="0.25">
      <c r="A134" s="9" t="s">
        <v>131</v>
      </c>
      <c r="B134" s="13">
        <v>0</v>
      </c>
      <c r="C134" s="13">
        <v>508</v>
      </c>
      <c r="D134" s="13">
        <v>1117.9000000000001</v>
      </c>
      <c r="E134" s="13">
        <v>2540</v>
      </c>
      <c r="F134" s="74">
        <v>0.44009999999999999</v>
      </c>
      <c r="G134" s="13">
        <v>6100</v>
      </c>
      <c r="H134" s="74">
        <v>0.1832</v>
      </c>
    </row>
    <row r="135" spans="1:8" ht="20.100000000000001" customHeight="1" x14ac:dyDescent="0.25">
      <c r="A135" s="9" t="s">
        <v>132</v>
      </c>
      <c r="B135" s="12">
        <v>9230</v>
      </c>
      <c r="C135" s="12">
        <v>0</v>
      </c>
      <c r="D135" s="12">
        <v>15470</v>
      </c>
      <c r="E135" s="12">
        <v>20000</v>
      </c>
      <c r="F135" s="73">
        <v>0.77349999999999997</v>
      </c>
      <c r="G135" s="12">
        <v>25000</v>
      </c>
      <c r="H135" s="73">
        <v>0.61880000000000002</v>
      </c>
    </row>
    <row r="136" spans="1:8" ht="20.100000000000001" customHeight="1" x14ac:dyDescent="0.25">
      <c r="A136" s="9" t="s">
        <v>81</v>
      </c>
      <c r="B136" s="1"/>
      <c r="C136" s="1"/>
      <c r="D136" s="1"/>
      <c r="E136" s="1"/>
      <c r="F136" s="68"/>
      <c r="G136" s="1"/>
      <c r="H136" s="68"/>
    </row>
    <row r="137" spans="1:8" ht="20.100000000000001" customHeight="1" x14ac:dyDescent="0.25">
      <c r="A137" s="9" t="s">
        <v>133</v>
      </c>
      <c r="B137" s="12">
        <v>0</v>
      </c>
      <c r="C137" s="12">
        <v>0</v>
      </c>
      <c r="D137" s="12">
        <v>4760</v>
      </c>
      <c r="E137" s="12">
        <v>5000</v>
      </c>
      <c r="F137" s="73">
        <v>0.95199999999999996</v>
      </c>
      <c r="G137" s="12">
        <v>5000</v>
      </c>
      <c r="H137" s="73">
        <v>0.95199999999999996</v>
      </c>
    </row>
    <row r="138" spans="1:8" ht="20.100000000000001" customHeight="1" x14ac:dyDescent="0.25">
      <c r="A138" s="9" t="s">
        <v>134</v>
      </c>
      <c r="B138" s="13">
        <v>0</v>
      </c>
      <c r="C138" s="13">
        <v>12500</v>
      </c>
      <c r="D138" s="13">
        <v>36354.959999999999</v>
      </c>
      <c r="E138" s="13">
        <v>62500</v>
      </c>
      <c r="F138" s="74">
        <v>0.58160000000000001</v>
      </c>
      <c r="G138" s="13">
        <v>150000</v>
      </c>
      <c r="H138" s="74">
        <v>0.24229999999999999</v>
      </c>
    </row>
    <row r="139" spans="1:8" ht="20.100000000000001" customHeight="1" x14ac:dyDescent="0.25">
      <c r="A139" s="9" t="s">
        <v>135</v>
      </c>
      <c r="B139" s="12">
        <v>27500</v>
      </c>
      <c r="C139" s="12">
        <v>9167</v>
      </c>
      <c r="D139" s="12">
        <v>58552.44</v>
      </c>
      <c r="E139" s="12">
        <v>45834</v>
      </c>
      <c r="F139" s="73">
        <v>1.2774000000000001</v>
      </c>
      <c r="G139" s="12">
        <v>110000</v>
      </c>
      <c r="H139" s="73">
        <v>0.53220000000000001</v>
      </c>
    </row>
    <row r="140" spans="1:8" ht="20.100000000000001" customHeight="1" x14ac:dyDescent="0.25">
      <c r="A140" s="9" t="s">
        <v>136</v>
      </c>
      <c r="B140" s="13">
        <v>0</v>
      </c>
      <c r="C140" s="13">
        <v>1667</v>
      </c>
      <c r="D140" s="13">
        <v>0</v>
      </c>
      <c r="E140" s="13">
        <v>8334</v>
      </c>
      <c r="F140" s="74">
        <v>0</v>
      </c>
      <c r="G140" s="13">
        <v>20000</v>
      </c>
      <c r="H140" s="74">
        <v>0</v>
      </c>
    </row>
    <row r="141" spans="1:8" ht="20.100000000000001" customHeight="1" x14ac:dyDescent="0.25">
      <c r="A141" s="9" t="s">
        <v>137</v>
      </c>
      <c r="B141" s="12">
        <v>0</v>
      </c>
      <c r="C141" s="12">
        <v>167</v>
      </c>
      <c r="D141" s="12">
        <v>0</v>
      </c>
      <c r="E141" s="12">
        <v>834</v>
      </c>
      <c r="F141" s="73">
        <v>0</v>
      </c>
      <c r="G141" s="12">
        <v>2000</v>
      </c>
      <c r="H141" s="73">
        <v>0</v>
      </c>
    </row>
    <row r="142" spans="1:8" ht="20.100000000000001" customHeight="1" x14ac:dyDescent="0.25">
      <c r="A142" s="9" t="s">
        <v>138</v>
      </c>
      <c r="B142" s="13">
        <v>0</v>
      </c>
      <c r="C142" s="13">
        <v>0</v>
      </c>
      <c r="D142" s="13">
        <v>904</v>
      </c>
      <c r="E142" s="13">
        <v>2000</v>
      </c>
      <c r="F142" s="74">
        <v>0.45200000000000001</v>
      </c>
      <c r="G142" s="13">
        <v>2000</v>
      </c>
      <c r="H142" s="74">
        <v>0.45200000000000001</v>
      </c>
    </row>
    <row r="143" spans="1:8" ht="20.100000000000001" customHeight="1" x14ac:dyDescent="0.25">
      <c r="A143" s="9" t="s">
        <v>139</v>
      </c>
      <c r="B143" s="12">
        <v>282</v>
      </c>
      <c r="C143" s="12">
        <v>1667</v>
      </c>
      <c r="D143" s="12">
        <v>7622.92</v>
      </c>
      <c r="E143" s="12">
        <v>8334</v>
      </c>
      <c r="F143" s="73">
        <v>0.91459999999999997</v>
      </c>
      <c r="G143" s="12">
        <v>20000</v>
      </c>
      <c r="H143" s="73">
        <v>0.38109999999999999</v>
      </c>
    </row>
    <row r="144" spans="1:8" ht="20.100000000000001" customHeight="1" x14ac:dyDescent="0.25">
      <c r="A144" s="9" t="s">
        <v>140</v>
      </c>
      <c r="B144" s="13">
        <v>1141.45</v>
      </c>
      <c r="C144" s="13">
        <v>833</v>
      </c>
      <c r="D144" s="13">
        <v>4941.91</v>
      </c>
      <c r="E144" s="13">
        <v>4166</v>
      </c>
      <c r="F144" s="74">
        <v>1.1861999999999999</v>
      </c>
      <c r="G144" s="13">
        <v>10000</v>
      </c>
      <c r="H144" s="74">
        <v>0.49409999999999998</v>
      </c>
    </row>
    <row r="145" spans="1:12" ht="20.100000000000001" customHeight="1" x14ac:dyDescent="0.25">
      <c r="A145" s="9" t="s">
        <v>141</v>
      </c>
      <c r="B145" s="12">
        <v>1831.74</v>
      </c>
      <c r="C145" s="12">
        <v>1250</v>
      </c>
      <c r="D145" s="12">
        <v>17576.12</v>
      </c>
      <c r="E145" s="12">
        <v>6250</v>
      </c>
      <c r="F145" s="73">
        <v>2.8121</v>
      </c>
      <c r="G145" s="12">
        <v>15000</v>
      </c>
      <c r="H145" s="73">
        <v>1.1717</v>
      </c>
    </row>
    <row r="146" spans="1:12" ht="20.100000000000001" customHeight="1" x14ac:dyDescent="0.25">
      <c r="A146" s="9" t="s">
        <v>142</v>
      </c>
      <c r="B146" s="13">
        <v>0</v>
      </c>
      <c r="C146" s="13">
        <v>208</v>
      </c>
      <c r="D146" s="13">
        <v>31.87</v>
      </c>
      <c r="E146" s="13">
        <v>1041</v>
      </c>
      <c r="F146" s="74">
        <v>3.0599999999999999E-2</v>
      </c>
      <c r="G146" s="13">
        <v>2500</v>
      </c>
      <c r="H146" s="74">
        <v>1.2699999999999999E-2</v>
      </c>
    </row>
    <row r="147" spans="1:12" ht="20.100000000000001" customHeight="1" x14ac:dyDescent="0.25">
      <c r="A147" s="9" t="s">
        <v>143</v>
      </c>
      <c r="B147" s="12">
        <v>0</v>
      </c>
      <c r="C147" s="12">
        <v>292</v>
      </c>
      <c r="D147" s="12">
        <v>1750</v>
      </c>
      <c r="E147" s="12">
        <v>1459</v>
      </c>
      <c r="F147" s="73">
        <v>1.1994</v>
      </c>
      <c r="G147" s="12">
        <v>3500</v>
      </c>
      <c r="H147" s="73">
        <v>0.5</v>
      </c>
    </row>
    <row r="148" spans="1:12" ht="20.100000000000001" customHeight="1" x14ac:dyDescent="0.25">
      <c r="A148" s="9" t="s">
        <v>144</v>
      </c>
      <c r="B148" s="13">
        <v>739.06</v>
      </c>
      <c r="C148" s="13">
        <v>1667</v>
      </c>
      <c r="D148" s="13">
        <v>13024.68</v>
      </c>
      <c r="E148" s="13">
        <v>8334</v>
      </c>
      <c r="F148" s="74">
        <v>1.5628</v>
      </c>
      <c r="G148" s="13">
        <v>20000</v>
      </c>
      <c r="H148" s="74">
        <v>0.6512</v>
      </c>
    </row>
    <row r="149" spans="1:12" ht="20.100000000000001" customHeight="1" x14ac:dyDescent="0.25">
      <c r="A149" s="17" t="s">
        <v>145</v>
      </c>
      <c r="B149" s="19">
        <v>59343</v>
      </c>
      <c r="C149" s="19">
        <v>0</v>
      </c>
      <c r="D149" s="19">
        <v>146078.35</v>
      </c>
      <c r="E149" s="19">
        <v>0</v>
      </c>
      <c r="F149" s="73">
        <v>1460.7835</v>
      </c>
      <c r="G149" s="12">
        <v>0</v>
      </c>
      <c r="H149" s="73">
        <v>1460.7835</v>
      </c>
      <c r="J149" s="65"/>
      <c r="L149" s="65"/>
    </row>
    <row r="150" spans="1:12" ht="20.100000000000001" customHeight="1" x14ac:dyDescent="0.25">
      <c r="A150" s="10" t="s">
        <v>146</v>
      </c>
      <c r="B150" s="11">
        <f>SUM(B152:B171)</f>
        <v>17939.079999999998</v>
      </c>
      <c r="C150" s="11">
        <f t="shared" ref="C150:G150" si="8">SUM(C152:C171)</f>
        <v>19785.5</v>
      </c>
      <c r="D150" s="11">
        <f t="shared" si="8"/>
        <v>100957.77</v>
      </c>
      <c r="E150" s="11">
        <f t="shared" si="8"/>
        <v>102699.5</v>
      </c>
      <c r="F150" s="69">
        <f>+D150/E150</f>
        <v>0.98304052113204066</v>
      </c>
      <c r="G150" s="11">
        <f t="shared" si="8"/>
        <v>231887</v>
      </c>
      <c r="H150" s="69">
        <f>+D150/G150</f>
        <v>0.43537485930647257</v>
      </c>
    </row>
    <row r="151" spans="1:12" ht="20.100000000000001" customHeight="1" x14ac:dyDescent="0.25">
      <c r="A151" s="9" t="s">
        <v>92</v>
      </c>
      <c r="B151" s="3"/>
      <c r="C151" s="3"/>
      <c r="D151" s="3"/>
      <c r="E151" s="3"/>
      <c r="F151" s="75"/>
      <c r="G151" s="3"/>
      <c r="H151" s="75"/>
    </row>
    <row r="152" spans="1:12" ht="20.100000000000001" customHeight="1" x14ac:dyDescent="0.25">
      <c r="A152" s="9" t="s">
        <v>147</v>
      </c>
      <c r="B152" s="13">
        <v>7136.74</v>
      </c>
      <c r="C152" s="13">
        <v>8387</v>
      </c>
      <c r="D152" s="13">
        <v>41608.629999999997</v>
      </c>
      <c r="E152" s="13">
        <v>46128</v>
      </c>
      <c r="F152" s="74">
        <v>0.90200000000000002</v>
      </c>
      <c r="G152" s="13">
        <v>109027</v>
      </c>
      <c r="H152" s="74">
        <v>0.38159999999999999</v>
      </c>
    </row>
    <row r="153" spans="1:12" ht="20.100000000000001" customHeight="1" x14ac:dyDescent="0.25">
      <c r="A153" s="9" t="s">
        <v>148</v>
      </c>
      <c r="B153" s="12">
        <v>40.520000000000003</v>
      </c>
      <c r="C153" s="12">
        <v>204</v>
      </c>
      <c r="D153" s="12">
        <v>483.91</v>
      </c>
      <c r="E153" s="12">
        <v>1124</v>
      </c>
      <c r="F153" s="73">
        <v>0.43049999999999999</v>
      </c>
      <c r="G153" s="12">
        <v>2657</v>
      </c>
      <c r="H153" s="73">
        <v>0.18210000000000001</v>
      </c>
    </row>
    <row r="154" spans="1:12" ht="20.100000000000001" customHeight="1" x14ac:dyDescent="0.25">
      <c r="A154" s="9" t="s">
        <v>149</v>
      </c>
      <c r="B154" s="13">
        <v>613.20000000000005</v>
      </c>
      <c r="C154" s="13">
        <v>726</v>
      </c>
      <c r="D154" s="13">
        <v>3598.98</v>
      </c>
      <c r="E154" s="13">
        <v>3993</v>
      </c>
      <c r="F154" s="74">
        <v>0.90129999999999999</v>
      </c>
      <c r="G154" s="13">
        <v>9437</v>
      </c>
      <c r="H154" s="74">
        <v>0.38129999999999997</v>
      </c>
    </row>
    <row r="155" spans="1:12" ht="20.100000000000001" customHeight="1" x14ac:dyDescent="0.25">
      <c r="A155" s="9" t="s">
        <v>150</v>
      </c>
      <c r="B155" s="12">
        <v>6624.17</v>
      </c>
      <c r="C155" s="12">
        <v>6888</v>
      </c>
      <c r="D155" s="12">
        <v>30558.63</v>
      </c>
      <c r="E155" s="12">
        <v>34440</v>
      </c>
      <c r="F155" s="73">
        <v>0.88729999999999998</v>
      </c>
      <c r="G155" s="12">
        <v>82657</v>
      </c>
      <c r="H155" s="73">
        <v>0.36969999999999997</v>
      </c>
    </row>
    <row r="156" spans="1:12" ht="20.100000000000001" customHeight="1" x14ac:dyDescent="0.25">
      <c r="A156" s="9" t="s">
        <v>151</v>
      </c>
      <c r="B156" s="13">
        <v>136.65</v>
      </c>
      <c r="C156" s="13">
        <v>140</v>
      </c>
      <c r="D156" s="13">
        <v>761.44</v>
      </c>
      <c r="E156" s="13">
        <v>770</v>
      </c>
      <c r="F156" s="74">
        <v>0.98880000000000001</v>
      </c>
      <c r="G156" s="13">
        <v>1819</v>
      </c>
      <c r="H156" s="74">
        <v>0.41860000000000003</v>
      </c>
    </row>
    <row r="157" spans="1:12" ht="20.100000000000001" customHeight="1" x14ac:dyDescent="0.25">
      <c r="A157" s="9" t="s">
        <v>152</v>
      </c>
      <c r="B157" s="12">
        <v>0</v>
      </c>
      <c r="C157" s="12">
        <v>83</v>
      </c>
      <c r="D157" s="12">
        <v>152.78</v>
      </c>
      <c r="E157" s="12">
        <v>416</v>
      </c>
      <c r="F157" s="73">
        <v>0.36720000000000003</v>
      </c>
      <c r="G157" s="12">
        <v>1000</v>
      </c>
      <c r="H157" s="73">
        <v>0.1527</v>
      </c>
    </row>
    <row r="158" spans="1:12" ht="20.100000000000001" customHeight="1" x14ac:dyDescent="0.25">
      <c r="A158" s="9" t="s">
        <v>153</v>
      </c>
      <c r="B158" s="13">
        <v>0</v>
      </c>
      <c r="C158" s="13">
        <v>265</v>
      </c>
      <c r="D158" s="13">
        <v>499.16</v>
      </c>
      <c r="E158" s="13">
        <v>1457</v>
      </c>
      <c r="F158" s="74">
        <v>0.34250000000000003</v>
      </c>
      <c r="G158" s="13">
        <v>3440</v>
      </c>
      <c r="H158" s="74">
        <v>0.14510000000000001</v>
      </c>
    </row>
    <row r="159" spans="1:12" ht="20.100000000000001" customHeight="1" x14ac:dyDescent="0.25">
      <c r="A159" s="9" t="s">
        <v>100</v>
      </c>
      <c r="B159" s="3"/>
      <c r="C159" s="3"/>
      <c r="D159" s="3"/>
      <c r="E159" s="3"/>
      <c r="F159" s="75"/>
      <c r="G159" s="3"/>
      <c r="H159" s="75"/>
    </row>
    <row r="160" spans="1:12" ht="20.100000000000001" customHeight="1" x14ac:dyDescent="0.25">
      <c r="A160" s="9" t="s">
        <v>154</v>
      </c>
      <c r="B160" s="13">
        <v>2012.86</v>
      </c>
      <c r="C160" s="13">
        <v>2000</v>
      </c>
      <c r="D160" s="13">
        <v>13011.53</v>
      </c>
      <c r="E160" s="13">
        <v>9000</v>
      </c>
      <c r="F160" s="74">
        <v>1.4457</v>
      </c>
      <c r="G160" s="13">
        <v>10000</v>
      </c>
      <c r="H160" s="74">
        <v>1.3010999999999999</v>
      </c>
    </row>
    <row r="161" spans="1:8" ht="20.100000000000001" customHeight="1" x14ac:dyDescent="0.25">
      <c r="A161" s="9" t="s">
        <v>155</v>
      </c>
      <c r="B161" s="12">
        <v>468.26</v>
      </c>
      <c r="C161" s="12">
        <v>0</v>
      </c>
      <c r="D161" s="12">
        <v>918.1</v>
      </c>
      <c r="E161" s="12">
        <v>0</v>
      </c>
      <c r="F161" s="73">
        <v>9.1809999999999992</v>
      </c>
      <c r="G161" s="12">
        <v>0</v>
      </c>
      <c r="H161" s="73">
        <v>9.1809999999999992</v>
      </c>
    </row>
    <row r="162" spans="1:8" ht="20.100000000000001" customHeight="1" x14ac:dyDescent="0.25">
      <c r="A162" s="9" t="s">
        <v>156</v>
      </c>
      <c r="B162" s="13">
        <v>212.62</v>
      </c>
      <c r="C162" s="13">
        <v>180</v>
      </c>
      <c r="D162" s="13">
        <v>1145.47</v>
      </c>
      <c r="E162" s="13">
        <v>810</v>
      </c>
      <c r="F162" s="74">
        <v>1.4140999999999999</v>
      </c>
      <c r="G162" s="13">
        <v>900</v>
      </c>
      <c r="H162" s="74">
        <v>1.2726999999999999</v>
      </c>
    </row>
    <row r="163" spans="1:8" ht="20.100000000000001" customHeight="1" x14ac:dyDescent="0.25">
      <c r="A163" s="9" t="s">
        <v>157</v>
      </c>
      <c r="B163" s="12">
        <v>36.950000000000003</v>
      </c>
      <c r="C163" s="12">
        <v>0</v>
      </c>
      <c r="D163" s="12">
        <v>168.45</v>
      </c>
      <c r="E163" s="12">
        <v>0</v>
      </c>
      <c r="F163" s="73">
        <v>1.6845000000000001</v>
      </c>
      <c r="G163" s="12">
        <v>0</v>
      </c>
      <c r="H163" s="73">
        <v>1.6845000000000001</v>
      </c>
    </row>
    <row r="164" spans="1:8" ht="20.100000000000001" customHeight="1" x14ac:dyDescent="0.25">
      <c r="A164" s="9" t="s">
        <v>158</v>
      </c>
      <c r="B164" s="13">
        <v>0</v>
      </c>
      <c r="C164" s="13">
        <v>25</v>
      </c>
      <c r="D164" s="13">
        <v>45.88</v>
      </c>
      <c r="E164" s="13">
        <v>125</v>
      </c>
      <c r="F164" s="74">
        <v>0.36699999999999999</v>
      </c>
      <c r="G164" s="13">
        <v>300</v>
      </c>
      <c r="H164" s="74">
        <v>0.15290000000000001</v>
      </c>
    </row>
    <row r="165" spans="1:8" ht="20.100000000000001" customHeight="1" x14ac:dyDescent="0.25">
      <c r="A165" s="9" t="s">
        <v>159</v>
      </c>
      <c r="B165" s="3"/>
      <c r="C165" s="3"/>
      <c r="D165" s="3"/>
      <c r="E165" s="3"/>
      <c r="F165" s="75"/>
      <c r="G165" s="3"/>
      <c r="H165" s="75"/>
    </row>
    <row r="166" spans="1:8" ht="20.100000000000001" customHeight="1" x14ac:dyDescent="0.25">
      <c r="A166" s="9" t="s">
        <v>160</v>
      </c>
      <c r="B166" s="13">
        <v>259.52999999999997</v>
      </c>
      <c r="C166" s="13">
        <v>250</v>
      </c>
      <c r="D166" s="13">
        <v>1316.4</v>
      </c>
      <c r="E166" s="13">
        <v>1250</v>
      </c>
      <c r="F166" s="74">
        <v>1.0530999999999999</v>
      </c>
      <c r="G166" s="13">
        <v>3000</v>
      </c>
      <c r="H166" s="74">
        <v>0.43880000000000002</v>
      </c>
    </row>
    <row r="167" spans="1:8" ht="20.100000000000001" customHeight="1" x14ac:dyDescent="0.25">
      <c r="A167" s="9" t="s">
        <v>161</v>
      </c>
      <c r="B167" s="12">
        <v>0</v>
      </c>
      <c r="C167" s="12">
        <v>125</v>
      </c>
      <c r="D167" s="12">
        <v>5508</v>
      </c>
      <c r="E167" s="12">
        <v>625</v>
      </c>
      <c r="F167" s="73">
        <v>8.8127999999999993</v>
      </c>
      <c r="G167" s="12">
        <v>1500</v>
      </c>
      <c r="H167" s="73">
        <v>3.6720000000000002</v>
      </c>
    </row>
    <row r="168" spans="1:8" ht="20.100000000000001" customHeight="1" x14ac:dyDescent="0.25">
      <c r="A168" s="9" t="s">
        <v>81</v>
      </c>
      <c r="B168" s="1"/>
      <c r="C168" s="1"/>
      <c r="D168" s="1"/>
      <c r="E168" s="1"/>
      <c r="F168" s="68"/>
      <c r="G168" s="1"/>
      <c r="H168" s="68"/>
    </row>
    <row r="169" spans="1:8" ht="20.100000000000001" customHeight="1" x14ac:dyDescent="0.25">
      <c r="A169" s="9" t="s">
        <v>162</v>
      </c>
      <c r="B169" s="12">
        <v>397.58</v>
      </c>
      <c r="C169" s="12">
        <v>417</v>
      </c>
      <c r="D169" s="12">
        <v>981.39</v>
      </c>
      <c r="E169" s="12">
        <v>2083</v>
      </c>
      <c r="F169" s="73">
        <v>0.47110000000000002</v>
      </c>
      <c r="G169" s="12">
        <v>5000</v>
      </c>
      <c r="H169" s="73">
        <v>0.19620000000000001</v>
      </c>
    </row>
    <row r="170" spans="1:8" ht="20.100000000000001" customHeight="1" x14ac:dyDescent="0.25">
      <c r="A170" s="9" t="s">
        <v>163</v>
      </c>
      <c r="B170" s="13">
        <v>0</v>
      </c>
      <c r="C170" s="13">
        <v>12.5</v>
      </c>
      <c r="D170" s="13">
        <v>119.04</v>
      </c>
      <c r="E170" s="13">
        <v>62.5</v>
      </c>
      <c r="F170" s="74">
        <v>1.9046000000000001</v>
      </c>
      <c r="G170" s="13">
        <v>150</v>
      </c>
      <c r="H170" s="74">
        <v>0.79359999999999997</v>
      </c>
    </row>
    <row r="171" spans="1:8" ht="20.100000000000001" customHeight="1" x14ac:dyDescent="0.25">
      <c r="A171" s="9" t="s">
        <v>164</v>
      </c>
      <c r="B171" s="12">
        <v>0</v>
      </c>
      <c r="C171" s="12">
        <v>83</v>
      </c>
      <c r="D171" s="12">
        <v>79.98</v>
      </c>
      <c r="E171" s="12">
        <v>416</v>
      </c>
      <c r="F171" s="73">
        <v>0.19220000000000001</v>
      </c>
      <c r="G171" s="12">
        <v>1000</v>
      </c>
      <c r="H171" s="73">
        <v>7.9899999999999999E-2</v>
      </c>
    </row>
    <row r="172" spans="1:8" ht="20.100000000000001" customHeight="1" x14ac:dyDescent="0.25">
      <c r="A172" s="10" t="s">
        <v>165</v>
      </c>
      <c r="B172" s="11">
        <f>SUM(B173:B188)</f>
        <v>41834.76</v>
      </c>
      <c r="C172" s="11">
        <f t="shared" ref="C172:G172" si="9">SUM(C173:C188)</f>
        <v>30413</v>
      </c>
      <c r="D172" s="11">
        <f t="shared" si="9"/>
        <v>188899.13999999998</v>
      </c>
      <c r="E172" s="11">
        <f t="shared" si="9"/>
        <v>149958</v>
      </c>
      <c r="F172" s="69">
        <f>+D172/E172</f>
        <v>1.2596803104869363</v>
      </c>
      <c r="G172" s="11">
        <f t="shared" si="9"/>
        <v>257040</v>
      </c>
      <c r="H172" s="69">
        <f>+D172/G172</f>
        <v>0.73490172735760961</v>
      </c>
    </row>
    <row r="173" spans="1:8" ht="20.100000000000001" customHeight="1" x14ac:dyDescent="0.25">
      <c r="A173" s="9" t="s">
        <v>92</v>
      </c>
      <c r="B173" s="3"/>
      <c r="C173" s="3"/>
      <c r="D173" s="3"/>
      <c r="E173" s="3"/>
      <c r="F173" s="75"/>
      <c r="G173" s="3"/>
      <c r="H173" s="75"/>
    </row>
    <row r="174" spans="1:8" ht="20.100000000000001" customHeight="1" x14ac:dyDescent="0.25">
      <c r="A174" s="9" t="s">
        <v>166</v>
      </c>
      <c r="B174" s="13">
        <v>6443.52</v>
      </c>
      <c r="C174" s="13">
        <v>5536</v>
      </c>
      <c r="D174" s="13">
        <v>35639.129999999997</v>
      </c>
      <c r="E174" s="13">
        <v>30447</v>
      </c>
      <c r="F174" s="74">
        <v>1.1705000000000001</v>
      </c>
      <c r="G174" s="13">
        <v>71963</v>
      </c>
      <c r="H174" s="74">
        <v>0.49519999999999997</v>
      </c>
    </row>
    <row r="175" spans="1:8" ht="20.100000000000001" customHeight="1" x14ac:dyDescent="0.25">
      <c r="A175" s="9" t="s">
        <v>167</v>
      </c>
      <c r="B175" s="12">
        <v>125.65</v>
      </c>
      <c r="C175" s="12">
        <v>556</v>
      </c>
      <c r="D175" s="12">
        <v>125.65</v>
      </c>
      <c r="E175" s="12">
        <v>3055</v>
      </c>
      <c r="F175" s="73">
        <v>4.1099999999999998E-2</v>
      </c>
      <c r="G175" s="12">
        <v>7221</v>
      </c>
      <c r="H175" s="73">
        <v>1.7399999999999999E-2</v>
      </c>
    </row>
    <row r="176" spans="1:8" ht="20.100000000000001" customHeight="1" x14ac:dyDescent="0.25">
      <c r="A176" s="9" t="s">
        <v>168</v>
      </c>
      <c r="B176" s="13">
        <v>560.29999999999995</v>
      </c>
      <c r="C176" s="13">
        <v>515</v>
      </c>
      <c r="D176" s="13">
        <v>2897.55</v>
      </c>
      <c r="E176" s="13">
        <v>2832</v>
      </c>
      <c r="F176" s="74">
        <v>1.0230999999999999</v>
      </c>
      <c r="G176" s="13">
        <v>6691</v>
      </c>
      <c r="H176" s="74">
        <v>0.433</v>
      </c>
    </row>
    <row r="177" spans="1:8" ht="20.100000000000001" customHeight="1" x14ac:dyDescent="0.25">
      <c r="A177" s="9" t="s">
        <v>169</v>
      </c>
      <c r="B177" s="12">
        <v>289.89</v>
      </c>
      <c r="C177" s="12">
        <v>3774</v>
      </c>
      <c r="D177" s="12">
        <v>18703.68</v>
      </c>
      <c r="E177" s="12">
        <v>18871</v>
      </c>
      <c r="F177" s="73">
        <v>0.99109999999999998</v>
      </c>
      <c r="G177" s="12">
        <v>45291</v>
      </c>
      <c r="H177" s="73">
        <v>0.41289999999999999</v>
      </c>
    </row>
    <row r="178" spans="1:8" ht="20.100000000000001" customHeight="1" x14ac:dyDescent="0.25">
      <c r="A178" s="9" t="s">
        <v>170</v>
      </c>
      <c r="B178" s="13">
        <v>0</v>
      </c>
      <c r="C178" s="13">
        <v>0</v>
      </c>
      <c r="D178" s="13">
        <v>229.5</v>
      </c>
      <c r="E178" s="13">
        <v>500</v>
      </c>
      <c r="F178" s="74">
        <v>0.45900000000000002</v>
      </c>
      <c r="G178" s="13">
        <v>500</v>
      </c>
      <c r="H178" s="74">
        <v>0.45900000000000002</v>
      </c>
    </row>
    <row r="179" spans="1:8" ht="20.100000000000001" customHeight="1" x14ac:dyDescent="0.25">
      <c r="A179" s="9" t="s">
        <v>171</v>
      </c>
      <c r="B179" s="12">
        <v>0</v>
      </c>
      <c r="C179" s="12">
        <v>27</v>
      </c>
      <c r="D179" s="12">
        <v>53.74</v>
      </c>
      <c r="E179" s="12">
        <v>148</v>
      </c>
      <c r="F179" s="73">
        <v>0.36309999999999998</v>
      </c>
      <c r="G179" s="12">
        <v>349</v>
      </c>
      <c r="H179" s="73">
        <v>0.15390000000000001</v>
      </c>
    </row>
    <row r="180" spans="1:8" ht="20.100000000000001" customHeight="1" x14ac:dyDescent="0.25">
      <c r="A180" s="9" t="s">
        <v>100</v>
      </c>
      <c r="B180" s="1"/>
      <c r="C180" s="1"/>
      <c r="D180" s="1"/>
      <c r="E180" s="1"/>
      <c r="F180" s="68"/>
      <c r="G180" s="1"/>
      <c r="H180" s="68"/>
    </row>
    <row r="181" spans="1:8" ht="20.100000000000001" customHeight="1" x14ac:dyDescent="0.25">
      <c r="A181" s="9" t="s">
        <v>172</v>
      </c>
      <c r="B181" s="12">
        <v>31751.15</v>
      </c>
      <c r="C181" s="12">
        <v>18121</v>
      </c>
      <c r="D181" s="12">
        <v>120515.84</v>
      </c>
      <c r="E181" s="12">
        <v>81544</v>
      </c>
      <c r="F181" s="73">
        <v>1.4779</v>
      </c>
      <c r="G181" s="12">
        <v>108725</v>
      </c>
      <c r="H181" s="73">
        <v>1.1084000000000001</v>
      </c>
    </row>
    <row r="182" spans="1:8" ht="20.100000000000001" customHeight="1" x14ac:dyDescent="0.25">
      <c r="A182" s="9" t="s">
        <v>173</v>
      </c>
      <c r="B182" s="13">
        <v>43.88</v>
      </c>
      <c r="C182" s="13">
        <v>67</v>
      </c>
      <c r="D182" s="13">
        <v>261.87</v>
      </c>
      <c r="E182" s="13">
        <v>301</v>
      </c>
      <c r="F182" s="74">
        <v>0.87</v>
      </c>
      <c r="G182" s="13">
        <v>400</v>
      </c>
      <c r="H182" s="74">
        <v>0.65459999999999996</v>
      </c>
    </row>
    <row r="183" spans="1:8" ht="20.100000000000001" customHeight="1" x14ac:dyDescent="0.25">
      <c r="A183" s="9" t="s">
        <v>174</v>
      </c>
      <c r="B183" s="12">
        <v>2499.5100000000002</v>
      </c>
      <c r="C183" s="12">
        <v>1650</v>
      </c>
      <c r="D183" s="12">
        <v>9630.8799999999992</v>
      </c>
      <c r="E183" s="12">
        <v>7425</v>
      </c>
      <c r="F183" s="73">
        <v>1.2969999999999999</v>
      </c>
      <c r="G183" s="12">
        <v>9900</v>
      </c>
      <c r="H183" s="73">
        <v>0.9728</v>
      </c>
    </row>
    <row r="184" spans="1:8" ht="20.100000000000001" customHeight="1" x14ac:dyDescent="0.25">
      <c r="A184" s="9" t="s">
        <v>175</v>
      </c>
      <c r="B184" s="13">
        <v>0</v>
      </c>
      <c r="C184" s="13">
        <v>0</v>
      </c>
      <c r="D184" s="13">
        <v>438</v>
      </c>
      <c r="E184" s="13">
        <v>4000</v>
      </c>
      <c r="F184" s="74">
        <v>0.1095</v>
      </c>
      <c r="G184" s="13">
        <v>4000</v>
      </c>
      <c r="H184" s="74">
        <v>0.1095</v>
      </c>
    </row>
    <row r="185" spans="1:8" ht="20.100000000000001" customHeight="1" x14ac:dyDescent="0.25">
      <c r="A185" s="9" t="s">
        <v>176</v>
      </c>
      <c r="B185" s="12">
        <v>0</v>
      </c>
      <c r="C185" s="12">
        <v>42</v>
      </c>
      <c r="D185" s="12">
        <v>66.28</v>
      </c>
      <c r="E185" s="12">
        <v>209</v>
      </c>
      <c r="F185" s="73">
        <v>0.31709999999999999</v>
      </c>
      <c r="G185" s="12">
        <v>500</v>
      </c>
      <c r="H185" s="73">
        <v>0.13250000000000001</v>
      </c>
    </row>
    <row r="186" spans="1:8" ht="20.100000000000001" customHeight="1" x14ac:dyDescent="0.25">
      <c r="A186" s="9" t="s">
        <v>81</v>
      </c>
      <c r="B186" s="1"/>
      <c r="C186" s="1"/>
      <c r="D186" s="1"/>
      <c r="E186" s="1"/>
      <c r="F186" s="68"/>
      <c r="G186" s="1"/>
      <c r="H186" s="68"/>
    </row>
    <row r="187" spans="1:8" ht="20.100000000000001" customHeight="1" x14ac:dyDescent="0.25">
      <c r="A187" s="9" t="s">
        <v>177</v>
      </c>
      <c r="B187" s="12">
        <v>120.86</v>
      </c>
      <c r="C187" s="12">
        <v>84</v>
      </c>
      <c r="D187" s="12">
        <v>306.08999999999997</v>
      </c>
      <c r="E187" s="12">
        <v>418</v>
      </c>
      <c r="F187" s="73">
        <v>0.73219999999999996</v>
      </c>
      <c r="G187" s="12">
        <v>1000</v>
      </c>
      <c r="H187" s="73">
        <v>0.30599999999999999</v>
      </c>
    </row>
    <row r="188" spans="1:8" ht="20.100000000000001" customHeight="1" x14ac:dyDescent="0.25">
      <c r="A188" s="9" t="s">
        <v>178</v>
      </c>
      <c r="B188" s="13">
        <v>0</v>
      </c>
      <c r="C188" s="13">
        <v>41</v>
      </c>
      <c r="D188" s="13">
        <v>30.93</v>
      </c>
      <c r="E188" s="13">
        <v>208</v>
      </c>
      <c r="F188" s="74">
        <v>0.1487</v>
      </c>
      <c r="G188" s="13">
        <v>500</v>
      </c>
      <c r="H188" s="74">
        <v>6.1800000000000001E-2</v>
      </c>
    </row>
    <row r="189" spans="1:8" ht="20.100000000000001" customHeight="1" x14ac:dyDescent="0.25">
      <c r="A189" s="10" t="s">
        <v>179</v>
      </c>
      <c r="B189" s="11">
        <f>SUM(B190:B198)</f>
        <v>3473.2999999999997</v>
      </c>
      <c r="C189" s="11">
        <f t="shared" ref="C189:G189" si="10">SUM(C190:C198)</f>
        <v>13788</v>
      </c>
      <c r="D189" s="11">
        <f t="shared" si="10"/>
        <v>19574.64</v>
      </c>
      <c r="E189" s="11">
        <f t="shared" si="10"/>
        <v>73858</v>
      </c>
      <c r="F189" s="69">
        <f>+D189/E189</f>
        <v>0.26503073465298277</v>
      </c>
      <c r="G189" s="11">
        <f t="shared" si="10"/>
        <v>175289</v>
      </c>
      <c r="H189" s="69">
        <f>+D189/G189</f>
        <v>0.11167066957995082</v>
      </c>
    </row>
    <row r="190" spans="1:8" ht="20.100000000000001" customHeight="1" x14ac:dyDescent="0.25">
      <c r="A190" s="9" t="s">
        <v>92</v>
      </c>
      <c r="B190" s="1"/>
      <c r="C190" s="1"/>
      <c r="D190" s="1"/>
      <c r="E190" s="1"/>
      <c r="F190" s="68"/>
      <c r="G190" s="1"/>
      <c r="H190" s="68"/>
    </row>
    <row r="191" spans="1:8" ht="20.100000000000001" customHeight="1" x14ac:dyDescent="0.25">
      <c r="A191" s="9" t="s">
        <v>180</v>
      </c>
      <c r="B191" s="12">
        <v>3200.2</v>
      </c>
      <c r="C191" s="12">
        <v>8916</v>
      </c>
      <c r="D191" s="12">
        <v>17973.16</v>
      </c>
      <c r="E191" s="12">
        <v>49038</v>
      </c>
      <c r="F191" s="73">
        <v>0.36649999999999999</v>
      </c>
      <c r="G191" s="12">
        <v>115904</v>
      </c>
      <c r="H191" s="73">
        <v>0.155</v>
      </c>
    </row>
    <row r="192" spans="1:8" ht="20.100000000000001" customHeight="1" x14ac:dyDescent="0.25">
      <c r="A192" s="9" t="s">
        <v>181</v>
      </c>
      <c r="B192" s="13">
        <v>273.10000000000002</v>
      </c>
      <c r="C192" s="13">
        <v>753</v>
      </c>
      <c r="D192" s="13">
        <v>1521.7</v>
      </c>
      <c r="E192" s="13">
        <v>4143</v>
      </c>
      <c r="F192" s="74">
        <v>0.36720000000000003</v>
      </c>
      <c r="G192" s="13">
        <v>9794</v>
      </c>
      <c r="H192" s="74">
        <v>0.15529999999999999</v>
      </c>
    </row>
    <row r="193" spans="1:8" ht="20.100000000000001" customHeight="1" x14ac:dyDescent="0.25">
      <c r="A193" s="9" t="s">
        <v>182</v>
      </c>
      <c r="B193" s="12">
        <v>0</v>
      </c>
      <c r="C193" s="12">
        <v>3862</v>
      </c>
      <c r="D193" s="12">
        <v>0</v>
      </c>
      <c r="E193" s="12">
        <v>19310</v>
      </c>
      <c r="F193" s="73">
        <v>0</v>
      </c>
      <c r="G193" s="12">
        <v>46341</v>
      </c>
      <c r="H193" s="73">
        <v>0</v>
      </c>
    </row>
    <row r="194" spans="1:8" ht="20.100000000000001" customHeight="1" x14ac:dyDescent="0.25">
      <c r="A194" s="9" t="s">
        <v>183</v>
      </c>
      <c r="B194" s="13">
        <v>0</v>
      </c>
      <c r="C194" s="13">
        <v>157</v>
      </c>
      <c r="D194" s="13">
        <v>0</v>
      </c>
      <c r="E194" s="13">
        <v>863</v>
      </c>
      <c r="F194" s="74">
        <v>0</v>
      </c>
      <c r="G194" s="13">
        <v>2040</v>
      </c>
      <c r="H194" s="74">
        <v>0</v>
      </c>
    </row>
    <row r="195" spans="1:8" ht="20.100000000000001" customHeight="1" x14ac:dyDescent="0.25">
      <c r="A195" s="9" t="s">
        <v>184</v>
      </c>
      <c r="B195" s="12">
        <v>0</v>
      </c>
      <c r="C195" s="12">
        <v>17</v>
      </c>
      <c r="D195" s="12">
        <v>0</v>
      </c>
      <c r="E195" s="12">
        <v>84</v>
      </c>
      <c r="F195" s="73">
        <v>0</v>
      </c>
      <c r="G195" s="12">
        <v>200</v>
      </c>
      <c r="H195" s="73">
        <v>0</v>
      </c>
    </row>
    <row r="196" spans="1:8" ht="20.100000000000001" customHeight="1" x14ac:dyDescent="0.25">
      <c r="A196" s="9" t="s">
        <v>185</v>
      </c>
      <c r="B196" s="13">
        <v>0</v>
      </c>
      <c r="C196" s="13">
        <v>42</v>
      </c>
      <c r="D196" s="13">
        <v>79.78</v>
      </c>
      <c r="E196" s="13">
        <v>212</v>
      </c>
      <c r="F196" s="74">
        <v>0.37630000000000002</v>
      </c>
      <c r="G196" s="13">
        <v>510</v>
      </c>
      <c r="H196" s="74">
        <v>0.15640000000000001</v>
      </c>
    </row>
    <row r="197" spans="1:8" ht="20.100000000000001" customHeight="1" x14ac:dyDescent="0.25">
      <c r="A197" s="9" t="s">
        <v>81</v>
      </c>
      <c r="B197" s="3"/>
      <c r="C197" s="3"/>
      <c r="D197" s="3"/>
      <c r="E197" s="3"/>
      <c r="F197" s="75"/>
      <c r="G197" s="3"/>
      <c r="H197" s="75"/>
    </row>
    <row r="198" spans="1:8" ht="20.100000000000001" customHeight="1" x14ac:dyDescent="0.25">
      <c r="A198" s="9" t="s">
        <v>186</v>
      </c>
      <c r="B198" s="13">
        <v>0</v>
      </c>
      <c r="C198" s="13">
        <v>41</v>
      </c>
      <c r="D198" s="13">
        <v>0</v>
      </c>
      <c r="E198" s="13">
        <v>208</v>
      </c>
      <c r="F198" s="74">
        <v>0</v>
      </c>
      <c r="G198" s="13">
        <v>500</v>
      </c>
      <c r="H198" s="74">
        <v>0</v>
      </c>
    </row>
    <row r="199" spans="1:8" ht="20.100000000000001" customHeight="1" x14ac:dyDescent="0.25">
      <c r="A199" s="10" t="s">
        <v>187</v>
      </c>
      <c r="B199" s="11">
        <f>SUM(B200:B204)</f>
        <v>3697.72</v>
      </c>
      <c r="C199" s="11">
        <f t="shared" ref="C199:G199" si="11">SUM(C200:C204)</f>
        <v>2513</v>
      </c>
      <c r="D199" s="11">
        <f t="shared" si="11"/>
        <v>18251.32</v>
      </c>
      <c r="E199" s="11">
        <f t="shared" si="11"/>
        <v>13818</v>
      </c>
      <c r="F199" s="69">
        <f>+D199/E199</f>
        <v>1.3208365899551309</v>
      </c>
      <c r="G199" s="11">
        <f t="shared" si="11"/>
        <v>32660</v>
      </c>
      <c r="H199" s="69">
        <f>+D199/G199</f>
        <v>0.55882792406613591</v>
      </c>
    </row>
    <row r="200" spans="1:8" ht="20.100000000000001" customHeight="1" x14ac:dyDescent="0.25">
      <c r="A200" s="9" t="s">
        <v>92</v>
      </c>
      <c r="B200" s="1"/>
      <c r="C200" s="1"/>
      <c r="D200" s="1"/>
      <c r="E200" s="1"/>
      <c r="F200" s="68"/>
      <c r="G200" s="1"/>
      <c r="H200" s="68"/>
    </row>
    <row r="201" spans="1:8" ht="20.100000000000001" customHeight="1" x14ac:dyDescent="0.25">
      <c r="A201" s="9" t="s">
        <v>188</v>
      </c>
      <c r="B201" s="12">
        <v>3361.37</v>
      </c>
      <c r="C201" s="12">
        <v>2314</v>
      </c>
      <c r="D201" s="12">
        <v>16773.03</v>
      </c>
      <c r="E201" s="12">
        <v>12726</v>
      </c>
      <c r="F201" s="73">
        <v>1.3180000000000001</v>
      </c>
      <c r="G201" s="12">
        <v>30079</v>
      </c>
      <c r="H201" s="73">
        <v>0.55759999999999998</v>
      </c>
    </row>
    <row r="202" spans="1:8" ht="20.100000000000001" customHeight="1" x14ac:dyDescent="0.25">
      <c r="A202" s="9" t="s">
        <v>189</v>
      </c>
      <c r="B202" s="13">
        <v>286.35000000000002</v>
      </c>
      <c r="C202" s="13">
        <v>196</v>
      </c>
      <c r="D202" s="13">
        <v>1423.05</v>
      </c>
      <c r="E202" s="13">
        <v>1076</v>
      </c>
      <c r="F202" s="74">
        <v>1.3225</v>
      </c>
      <c r="G202" s="13">
        <v>2542</v>
      </c>
      <c r="H202" s="74">
        <v>0.55979999999999996</v>
      </c>
    </row>
    <row r="203" spans="1:8" ht="20.100000000000001" customHeight="1" x14ac:dyDescent="0.25">
      <c r="A203" s="9" t="s">
        <v>190</v>
      </c>
      <c r="B203" s="12">
        <v>0</v>
      </c>
      <c r="C203" s="12">
        <v>3</v>
      </c>
      <c r="D203" s="12">
        <v>5.24</v>
      </c>
      <c r="E203" s="12">
        <v>16</v>
      </c>
      <c r="F203" s="73">
        <v>0.32750000000000001</v>
      </c>
      <c r="G203" s="12">
        <v>39</v>
      </c>
      <c r="H203" s="73">
        <v>0.1343</v>
      </c>
    </row>
    <row r="204" spans="1:8" ht="20.100000000000001" customHeight="1" x14ac:dyDescent="0.25">
      <c r="A204" s="9" t="s">
        <v>81</v>
      </c>
      <c r="B204" s="13">
        <v>50</v>
      </c>
      <c r="C204" s="13">
        <v>0</v>
      </c>
      <c r="D204" s="13">
        <v>50</v>
      </c>
      <c r="E204" s="13">
        <v>0</v>
      </c>
      <c r="F204" s="74">
        <v>0.5</v>
      </c>
      <c r="G204" s="13">
        <v>0</v>
      </c>
      <c r="H204" s="74">
        <v>0.5</v>
      </c>
    </row>
    <row r="205" spans="1:8" ht="20.100000000000001" customHeight="1" x14ac:dyDescent="0.25">
      <c r="A205" s="10" t="s">
        <v>191</v>
      </c>
      <c r="B205" s="11">
        <f>SUM(B206:B231)</f>
        <v>149212.81</v>
      </c>
      <c r="C205" s="11">
        <f t="shared" ref="C205:G205" si="12">SUM(C206:C231)</f>
        <v>106684.75</v>
      </c>
      <c r="D205" s="11">
        <f t="shared" si="12"/>
        <v>564956.10999999987</v>
      </c>
      <c r="E205" s="11">
        <f t="shared" si="12"/>
        <v>501035.75</v>
      </c>
      <c r="F205" s="69">
        <f>+D205/E205</f>
        <v>1.1275764453933674</v>
      </c>
      <c r="G205" s="11">
        <f t="shared" si="12"/>
        <v>607410</v>
      </c>
      <c r="H205" s="69">
        <f>+D205/G205</f>
        <v>0.93010669893482145</v>
      </c>
    </row>
    <row r="206" spans="1:8" ht="20.100000000000001" customHeight="1" x14ac:dyDescent="0.25">
      <c r="A206" s="9" t="s">
        <v>92</v>
      </c>
      <c r="B206" s="1"/>
      <c r="C206" s="1"/>
      <c r="D206" s="1"/>
      <c r="E206" s="1"/>
      <c r="F206" s="68"/>
      <c r="G206" s="1"/>
      <c r="H206" s="68"/>
    </row>
    <row r="207" spans="1:8" ht="20.100000000000001" customHeight="1" x14ac:dyDescent="0.25">
      <c r="A207" s="9" t="s">
        <v>192</v>
      </c>
      <c r="B207" s="12">
        <v>2060</v>
      </c>
      <c r="C207" s="12">
        <v>2060</v>
      </c>
      <c r="D207" s="12">
        <v>11309</v>
      </c>
      <c r="E207" s="12">
        <v>11330</v>
      </c>
      <c r="F207" s="73">
        <v>0.99809999999999999</v>
      </c>
      <c r="G207" s="12">
        <v>26780</v>
      </c>
      <c r="H207" s="73">
        <v>0.42220000000000002</v>
      </c>
    </row>
    <row r="208" spans="1:8" ht="20.100000000000001" customHeight="1" x14ac:dyDescent="0.25">
      <c r="A208" s="9" t="s">
        <v>193</v>
      </c>
      <c r="B208" s="13">
        <v>175.7</v>
      </c>
      <c r="C208" s="13">
        <v>174</v>
      </c>
      <c r="D208" s="13">
        <v>960.54</v>
      </c>
      <c r="E208" s="13">
        <v>957</v>
      </c>
      <c r="F208" s="74">
        <v>1.0036</v>
      </c>
      <c r="G208" s="13">
        <v>2263</v>
      </c>
      <c r="H208" s="74">
        <v>0.4244</v>
      </c>
    </row>
    <row r="209" spans="1:8" ht="20.100000000000001" customHeight="1" x14ac:dyDescent="0.25">
      <c r="A209" s="9" t="s">
        <v>194</v>
      </c>
      <c r="B209" s="12">
        <v>98.68</v>
      </c>
      <c r="C209" s="12">
        <v>97</v>
      </c>
      <c r="D209" s="12">
        <v>582.08000000000004</v>
      </c>
      <c r="E209" s="12">
        <v>485</v>
      </c>
      <c r="F209" s="73">
        <v>1.2000999999999999</v>
      </c>
      <c r="G209" s="12">
        <v>1164</v>
      </c>
      <c r="H209" s="73">
        <v>0.5</v>
      </c>
    </row>
    <row r="210" spans="1:8" ht="20.100000000000001" customHeight="1" x14ac:dyDescent="0.25">
      <c r="A210" s="9" t="s">
        <v>195</v>
      </c>
      <c r="B210" s="13">
        <v>0</v>
      </c>
      <c r="C210" s="13">
        <v>68.75</v>
      </c>
      <c r="D210" s="13">
        <v>119.3</v>
      </c>
      <c r="E210" s="13">
        <v>343.75</v>
      </c>
      <c r="F210" s="74">
        <v>0.34699999999999998</v>
      </c>
      <c r="G210" s="13">
        <v>825</v>
      </c>
      <c r="H210" s="74">
        <v>0.14460000000000001</v>
      </c>
    </row>
    <row r="211" spans="1:8" ht="20.100000000000001" customHeight="1" x14ac:dyDescent="0.25">
      <c r="A211" s="9" t="s">
        <v>100</v>
      </c>
      <c r="B211" s="3"/>
      <c r="C211" s="3"/>
      <c r="D211" s="3"/>
      <c r="E211" s="3"/>
      <c r="F211" s="75"/>
      <c r="G211" s="3"/>
      <c r="H211" s="75"/>
    </row>
    <row r="212" spans="1:8" ht="20.100000000000001" customHeight="1" x14ac:dyDescent="0.25">
      <c r="A212" s="9" t="s">
        <v>196</v>
      </c>
      <c r="B212" s="13">
        <v>0</v>
      </c>
      <c r="C212" s="13">
        <v>0</v>
      </c>
      <c r="D212" s="13">
        <v>4220.78</v>
      </c>
      <c r="E212" s="13">
        <v>0</v>
      </c>
      <c r="F212" s="74">
        <v>42.207799999999999</v>
      </c>
      <c r="G212" s="13">
        <v>0</v>
      </c>
      <c r="H212" s="74">
        <v>42.207799999999999</v>
      </c>
    </row>
    <row r="213" spans="1:8" ht="20.100000000000001" customHeight="1" x14ac:dyDescent="0.25">
      <c r="A213" s="9" t="s">
        <v>197</v>
      </c>
      <c r="B213" s="12">
        <v>115923.47</v>
      </c>
      <c r="C213" s="12">
        <v>87000</v>
      </c>
      <c r="D213" s="12">
        <v>435880.45</v>
      </c>
      <c r="E213" s="12">
        <v>391500</v>
      </c>
      <c r="F213" s="73">
        <v>1.1133</v>
      </c>
      <c r="G213" s="12">
        <v>435000</v>
      </c>
      <c r="H213" s="73">
        <v>1.002</v>
      </c>
    </row>
    <row r="214" spans="1:8" ht="20.100000000000001" customHeight="1" x14ac:dyDescent="0.25">
      <c r="A214" s="9" t="s">
        <v>198</v>
      </c>
      <c r="B214" s="13">
        <v>9560.86</v>
      </c>
      <c r="C214" s="13">
        <v>6250</v>
      </c>
      <c r="D214" s="13">
        <v>11856.12</v>
      </c>
      <c r="E214" s="13">
        <v>25000</v>
      </c>
      <c r="F214" s="74">
        <v>0.47420000000000001</v>
      </c>
      <c r="G214" s="13">
        <v>37500</v>
      </c>
      <c r="H214" s="74">
        <v>0.31609999999999999</v>
      </c>
    </row>
    <row r="215" spans="1:8" ht="20.100000000000001" customHeight="1" x14ac:dyDescent="0.25">
      <c r="A215" s="9" t="s">
        <v>199</v>
      </c>
      <c r="B215" s="12">
        <v>11477.57</v>
      </c>
      <c r="C215" s="12">
        <v>8505</v>
      </c>
      <c r="D215" s="12">
        <v>39729.65</v>
      </c>
      <c r="E215" s="12">
        <v>38273</v>
      </c>
      <c r="F215" s="73">
        <v>1.038</v>
      </c>
      <c r="G215" s="12">
        <v>42525</v>
      </c>
      <c r="H215" s="73">
        <v>0.93420000000000003</v>
      </c>
    </row>
    <row r="216" spans="1:8" ht="20.100000000000001" customHeight="1" x14ac:dyDescent="0.25">
      <c r="A216" s="9" t="s">
        <v>200</v>
      </c>
      <c r="B216" s="13">
        <v>0</v>
      </c>
      <c r="C216" s="13">
        <v>0</v>
      </c>
      <c r="D216" s="13">
        <v>17447.560000000001</v>
      </c>
      <c r="E216" s="13">
        <v>5000</v>
      </c>
      <c r="F216" s="74">
        <v>3.4895</v>
      </c>
      <c r="G216" s="13">
        <v>15000</v>
      </c>
      <c r="H216" s="74">
        <v>1.1631</v>
      </c>
    </row>
    <row r="217" spans="1:8" ht="20.100000000000001" customHeight="1" x14ac:dyDescent="0.25">
      <c r="A217" s="9" t="s">
        <v>201</v>
      </c>
      <c r="B217" s="12">
        <v>0</v>
      </c>
      <c r="C217" s="12">
        <v>1213</v>
      </c>
      <c r="D217" s="12">
        <v>2044</v>
      </c>
      <c r="E217" s="12">
        <v>6063</v>
      </c>
      <c r="F217" s="73">
        <v>0.33710000000000001</v>
      </c>
      <c r="G217" s="12">
        <v>14553</v>
      </c>
      <c r="H217" s="73">
        <v>0.1404</v>
      </c>
    </row>
    <row r="218" spans="1:8" ht="20.100000000000001" customHeight="1" x14ac:dyDescent="0.25">
      <c r="A218" s="9" t="s">
        <v>202</v>
      </c>
      <c r="B218" s="13">
        <v>0</v>
      </c>
      <c r="C218" s="13">
        <v>0</v>
      </c>
      <c r="D218" s="13">
        <v>246.66</v>
      </c>
      <c r="E218" s="13">
        <v>0</v>
      </c>
      <c r="F218" s="74">
        <v>2.4666000000000001</v>
      </c>
      <c r="G218" s="13">
        <v>0</v>
      </c>
      <c r="H218" s="74">
        <v>2.4666000000000001</v>
      </c>
    </row>
    <row r="219" spans="1:8" ht="20.100000000000001" customHeight="1" x14ac:dyDescent="0.25">
      <c r="A219" s="9" t="s">
        <v>159</v>
      </c>
      <c r="B219" s="3"/>
      <c r="C219" s="3"/>
      <c r="D219" s="3"/>
      <c r="E219" s="3"/>
      <c r="F219" s="75"/>
      <c r="G219" s="3"/>
      <c r="H219" s="75"/>
    </row>
    <row r="220" spans="1:8" ht="20.100000000000001" customHeight="1" x14ac:dyDescent="0.25">
      <c r="A220" s="9" t="s">
        <v>203</v>
      </c>
      <c r="B220" s="13">
        <v>552.29</v>
      </c>
      <c r="C220" s="13">
        <v>625</v>
      </c>
      <c r="D220" s="13">
        <v>3699.6</v>
      </c>
      <c r="E220" s="13">
        <v>3125</v>
      </c>
      <c r="F220" s="74">
        <v>1.1838</v>
      </c>
      <c r="G220" s="13">
        <v>7500</v>
      </c>
      <c r="H220" s="74">
        <v>0.49320000000000003</v>
      </c>
    </row>
    <row r="221" spans="1:8" ht="20.100000000000001" customHeight="1" x14ac:dyDescent="0.25">
      <c r="A221" s="9" t="s">
        <v>204</v>
      </c>
      <c r="B221" s="12">
        <v>0</v>
      </c>
      <c r="C221" s="12">
        <v>317</v>
      </c>
      <c r="D221" s="12">
        <v>1105</v>
      </c>
      <c r="E221" s="12">
        <v>1584</v>
      </c>
      <c r="F221" s="73">
        <v>0.6976</v>
      </c>
      <c r="G221" s="12">
        <v>3800</v>
      </c>
      <c r="H221" s="73">
        <v>0.29070000000000001</v>
      </c>
    </row>
    <row r="222" spans="1:8" ht="20.100000000000001" customHeight="1" x14ac:dyDescent="0.25">
      <c r="A222" s="9" t="s">
        <v>205</v>
      </c>
      <c r="B222" s="13">
        <v>0</v>
      </c>
      <c r="C222" s="13">
        <v>0</v>
      </c>
      <c r="D222" s="13">
        <v>0</v>
      </c>
      <c r="E222" s="13">
        <v>0</v>
      </c>
      <c r="F222" s="74">
        <v>0</v>
      </c>
      <c r="G222" s="13">
        <v>500</v>
      </c>
      <c r="H222" s="74">
        <v>0</v>
      </c>
    </row>
    <row r="223" spans="1:8" ht="20.100000000000001" customHeight="1" x14ac:dyDescent="0.25">
      <c r="A223" s="9" t="s">
        <v>206</v>
      </c>
      <c r="B223" s="12">
        <v>0</v>
      </c>
      <c r="C223" s="12">
        <v>125</v>
      </c>
      <c r="D223" s="12">
        <v>332.94</v>
      </c>
      <c r="E223" s="12">
        <v>625</v>
      </c>
      <c r="F223" s="73">
        <v>0.53269999999999995</v>
      </c>
      <c r="G223" s="12">
        <v>1500</v>
      </c>
      <c r="H223" s="73">
        <v>0.22189999999999999</v>
      </c>
    </row>
    <row r="224" spans="1:8" ht="20.100000000000001" customHeight="1" x14ac:dyDescent="0.25">
      <c r="A224" s="9" t="s">
        <v>81</v>
      </c>
      <c r="B224" s="1"/>
      <c r="C224" s="1"/>
      <c r="D224" s="1"/>
      <c r="E224" s="1"/>
      <c r="F224" s="68"/>
      <c r="G224" s="1"/>
      <c r="H224" s="68"/>
    </row>
    <row r="225" spans="1:8" ht="20.100000000000001" customHeight="1" x14ac:dyDescent="0.25">
      <c r="A225" s="9" t="s">
        <v>207</v>
      </c>
      <c r="B225" s="12">
        <v>0</v>
      </c>
      <c r="C225" s="12">
        <v>250</v>
      </c>
      <c r="D225" s="12">
        <v>365.76</v>
      </c>
      <c r="E225" s="12">
        <v>1250</v>
      </c>
      <c r="F225" s="73">
        <v>0.29260000000000003</v>
      </c>
      <c r="G225" s="12">
        <v>3000</v>
      </c>
      <c r="H225" s="73">
        <v>0.12189999999999999</v>
      </c>
    </row>
    <row r="226" spans="1:8" ht="20.100000000000001" customHeight="1" x14ac:dyDescent="0.25">
      <c r="A226" s="9" t="s">
        <v>208</v>
      </c>
      <c r="B226" s="13">
        <v>500</v>
      </c>
      <c r="C226" s="13">
        <v>0</v>
      </c>
      <c r="D226" s="13">
        <v>500</v>
      </c>
      <c r="E226" s="13">
        <v>500</v>
      </c>
      <c r="F226" s="74">
        <v>1</v>
      </c>
      <c r="G226" s="13">
        <v>500</v>
      </c>
      <c r="H226" s="74">
        <v>1</v>
      </c>
    </row>
    <row r="227" spans="1:8" ht="20.100000000000001" customHeight="1" x14ac:dyDescent="0.25">
      <c r="A227" s="9" t="s">
        <v>209</v>
      </c>
      <c r="B227" s="12">
        <v>0</v>
      </c>
      <c r="C227" s="12">
        <v>0</v>
      </c>
      <c r="D227" s="12">
        <v>10390</v>
      </c>
      <c r="E227" s="12">
        <v>11000</v>
      </c>
      <c r="F227" s="73">
        <v>0.94450000000000001</v>
      </c>
      <c r="G227" s="12">
        <v>11000</v>
      </c>
      <c r="H227" s="73">
        <v>0.94450000000000001</v>
      </c>
    </row>
    <row r="228" spans="1:8" ht="20.100000000000001" customHeight="1" x14ac:dyDescent="0.25">
      <c r="A228" s="9" t="s">
        <v>210</v>
      </c>
      <c r="B228" s="13">
        <v>49.24</v>
      </c>
      <c r="C228" s="13">
        <v>0</v>
      </c>
      <c r="D228" s="13">
        <v>3643.46</v>
      </c>
      <c r="E228" s="13">
        <v>3000</v>
      </c>
      <c r="F228" s="74">
        <v>1.2143999999999999</v>
      </c>
      <c r="G228" s="13">
        <v>3000</v>
      </c>
      <c r="H228" s="74">
        <v>1.2143999999999999</v>
      </c>
    </row>
    <row r="229" spans="1:8" ht="20.100000000000001" customHeight="1" x14ac:dyDescent="0.25">
      <c r="A229" s="9" t="s">
        <v>211</v>
      </c>
      <c r="B229" s="12">
        <v>0</v>
      </c>
      <c r="C229" s="12">
        <v>0</v>
      </c>
      <c r="D229" s="12">
        <v>24.5</v>
      </c>
      <c r="E229" s="12">
        <v>1000</v>
      </c>
      <c r="F229" s="73">
        <v>2.4500000000000001E-2</v>
      </c>
      <c r="G229" s="12">
        <v>1000</v>
      </c>
      <c r="H229" s="73">
        <v>2.4500000000000001E-2</v>
      </c>
    </row>
    <row r="230" spans="1:8" ht="20.100000000000001" customHeight="1" x14ac:dyDescent="0.25">
      <c r="A230" s="17" t="s">
        <v>212</v>
      </c>
      <c r="B230" s="19">
        <v>8815</v>
      </c>
      <c r="C230" s="19">
        <v>0</v>
      </c>
      <c r="D230" s="19">
        <v>15276.46</v>
      </c>
      <c r="E230" s="19">
        <v>0</v>
      </c>
      <c r="F230" s="74">
        <v>152.7646</v>
      </c>
      <c r="G230" s="13">
        <v>0</v>
      </c>
      <c r="H230" s="74">
        <v>152.7646</v>
      </c>
    </row>
    <row r="231" spans="1:8" ht="20.100000000000001" customHeight="1" x14ac:dyDescent="0.25">
      <c r="A231" s="9" t="s">
        <v>213</v>
      </c>
      <c r="B231" s="12">
        <v>0</v>
      </c>
      <c r="C231" s="12">
        <v>0</v>
      </c>
      <c r="D231" s="12">
        <v>5222.25</v>
      </c>
      <c r="E231" s="12">
        <v>0</v>
      </c>
      <c r="F231" s="73">
        <v>52.222499999999997</v>
      </c>
      <c r="G231" s="12">
        <v>0</v>
      </c>
      <c r="H231" s="73">
        <v>52.222499999999997</v>
      </c>
    </row>
    <row r="232" spans="1:8" ht="20.100000000000001" customHeight="1" x14ac:dyDescent="0.25">
      <c r="A232" s="14" t="s">
        <v>214</v>
      </c>
      <c r="B232" s="15">
        <f>+B205+B199+B189+B172+B150+B109+B91+B50</f>
        <v>871306.91</v>
      </c>
      <c r="C232" s="15">
        <f>+C205+C199+C189+C172+C150+C109+C91+C50</f>
        <v>602989.25</v>
      </c>
      <c r="D232" s="15">
        <f>+D205+D199+D189+D172+D150+D109+D91+D50</f>
        <v>7657420.5099999998</v>
      </c>
      <c r="E232" s="15">
        <f>+E205+E199+E189+E172+E150+E109+E91+E50</f>
        <v>2988710.25</v>
      </c>
      <c r="F232" s="76">
        <f>+D232/E232</f>
        <v>2.5621153840523685</v>
      </c>
      <c r="G232" s="15">
        <f>+G205+G199+G189+G172+G150+G109+G91+G50</f>
        <v>6117694</v>
      </c>
      <c r="H232" s="76">
        <f>+D232/G232</f>
        <v>1.2516841329429029</v>
      </c>
    </row>
    <row r="235" spans="1:8" x14ac:dyDescent="0.25">
      <c r="B235" s="65"/>
      <c r="C235" s="65"/>
      <c r="D235" s="65"/>
      <c r="E235" s="65"/>
    </row>
    <row r="236" spans="1:8" hidden="1" x14ac:dyDescent="0.25">
      <c r="B236" s="65">
        <f>+B230+B149+B108+B90+B89+B88+B87+B79+B61+B53</f>
        <v>265467.12999999995</v>
      </c>
      <c r="C236" s="65">
        <f>+C230+C149+C108+C90+C89+C88+C87+C79+C61+C53</f>
        <v>0</v>
      </c>
      <c r="D236" s="65">
        <f>+D230+D149+D108+D90+D89+D88+D87+D79+D61+D53</f>
        <v>4506734.4400000004</v>
      </c>
      <c r="E236" s="65">
        <f>+E230+E149+E108+E90+E89+E88+E87+E79+E61+E53</f>
        <v>0</v>
      </c>
    </row>
    <row r="237" spans="1:8" hidden="1" x14ac:dyDescent="0.25">
      <c r="B237" s="65"/>
      <c r="C237" s="65"/>
      <c r="D237" s="65"/>
      <c r="E237" s="65"/>
    </row>
    <row r="238" spans="1:8" hidden="1" x14ac:dyDescent="0.25">
      <c r="B238" s="65">
        <f>+B232-B236</f>
        <v>605839.78</v>
      </c>
      <c r="C238" s="65">
        <f>+C232-C236</f>
        <v>602989.25</v>
      </c>
      <c r="D238" s="65">
        <f>+D232-D236</f>
        <v>3150686.0699999994</v>
      </c>
      <c r="E238" s="65">
        <f>+E232-E236</f>
        <v>2988710.25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Fin Summary - Operating</vt:lpstr>
      <vt:lpstr>Full Data New</vt:lpstr>
      <vt:lpstr>'Fin Summary - Operating'!Print_Area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2026-09-08T17:22:30Z</dcterms:created>
  <dcterms:modified xsi:type="dcterms:W3CDTF">2026-09-15T19:10:33Z</dcterms:modified>
</cp:coreProperties>
</file>